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V:\Estadisticas Sectoriales\1. Sectores económicos\6. Agua Potable\3. Insumos\4. Fichas de carga\"/>
    </mc:Choice>
  </mc:AlternateContent>
  <xr:revisionPtr revIDLastSave="0" documentId="13_ncr:1_{FE396866-D21F-4563-AF8F-5F867D7B19F5}" xr6:coauthVersionLast="46" xr6:coauthVersionMax="46" xr10:uidLastSave="{00000000-0000-0000-0000-000000000000}"/>
  <bookViews>
    <workbookView xWindow="-120" yWindow="-120" windowWidth="20700" windowHeight="11160" firstSheet="4" activeTab="8" xr2:uid="{2677498F-4BD9-487A-94B0-6FAAE0C4C695}"/>
  </bookViews>
  <sheets>
    <sheet name="2012" sheetId="1" r:id="rId1"/>
    <sheet name="2013" sheetId="2" r:id="rId2"/>
    <sheet name="2014" sheetId="3" r:id="rId3"/>
    <sheet name="2015" sheetId="4" r:id="rId4"/>
    <sheet name="2016" sheetId="5" r:id="rId5"/>
    <sheet name="2017" sheetId="6" r:id="rId6"/>
    <sheet name="2018" sheetId="7" r:id="rId7"/>
    <sheet name="2019" sheetId="8" r:id="rId8"/>
    <sheet name="2020" sheetId="9" r:id="rId9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2" l="1"/>
  <c r="G11" i="2"/>
  <c r="G12" i="2"/>
  <c r="G13" i="2"/>
  <c r="G14" i="2"/>
  <c r="G15" i="2"/>
  <c r="G16" i="2"/>
  <c r="G17" i="2"/>
  <c r="G18" i="2"/>
  <c r="G19" i="2"/>
  <c r="G20" i="2"/>
  <c r="G9" i="2"/>
  <c r="B27" i="9"/>
  <c r="K7" i="9"/>
  <c r="J7" i="9"/>
  <c r="I7" i="9"/>
  <c r="H7" i="9"/>
  <c r="G7" i="9"/>
  <c r="F7" i="9"/>
  <c r="E7" i="9"/>
  <c r="D7" i="9"/>
  <c r="C7" i="9"/>
  <c r="B7" i="9"/>
  <c r="B27" i="8" l="1"/>
  <c r="K7" i="8"/>
  <c r="J7" i="8"/>
  <c r="I7" i="8"/>
  <c r="H7" i="8"/>
  <c r="G7" i="8"/>
  <c r="F7" i="8"/>
  <c r="E7" i="8"/>
  <c r="D7" i="8"/>
  <c r="C7" i="8"/>
  <c r="B7" i="8"/>
  <c r="B27" i="7" l="1"/>
  <c r="K20" i="7"/>
  <c r="K19" i="7"/>
  <c r="K18" i="7"/>
  <c r="K17" i="7"/>
  <c r="K16" i="7"/>
  <c r="K15" i="7"/>
  <c r="K14" i="7"/>
  <c r="K13" i="7"/>
  <c r="K12" i="7"/>
  <c r="K11" i="7"/>
  <c r="K10" i="7"/>
  <c r="K9" i="7"/>
  <c r="K7" i="7"/>
  <c r="J7" i="7"/>
  <c r="I7" i="7"/>
  <c r="H7" i="7"/>
  <c r="G7" i="7"/>
  <c r="F7" i="7"/>
  <c r="E7" i="7"/>
  <c r="D7" i="7"/>
  <c r="C7" i="7"/>
  <c r="B7" i="7"/>
  <c r="B27" i="6" l="1"/>
  <c r="G20" i="6"/>
  <c r="F20" i="6"/>
  <c r="K19" i="6"/>
  <c r="G19" i="6"/>
  <c r="F19" i="6"/>
  <c r="K18" i="6"/>
  <c r="G18" i="6"/>
  <c r="F18" i="6"/>
  <c r="K17" i="6"/>
  <c r="G17" i="6"/>
  <c r="F17" i="6"/>
  <c r="K16" i="6"/>
  <c r="G16" i="6"/>
  <c r="F16" i="6"/>
  <c r="K15" i="6"/>
  <c r="G15" i="6"/>
  <c r="F15" i="6"/>
  <c r="K14" i="6"/>
  <c r="G14" i="6"/>
  <c r="F14" i="6"/>
  <c r="K13" i="6"/>
  <c r="G13" i="6"/>
  <c r="F13" i="6"/>
  <c r="K12" i="6"/>
  <c r="G12" i="6"/>
  <c r="G7" i="6" s="1"/>
  <c r="F12" i="6"/>
  <c r="K11" i="6"/>
  <c r="G11" i="6"/>
  <c r="F11" i="6"/>
  <c r="K10" i="6"/>
  <c r="G10" i="6"/>
  <c r="F10" i="6"/>
  <c r="K9" i="6"/>
  <c r="K7" i="6" s="1"/>
  <c r="G9" i="6"/>
  <c r="F9" i="6"/>
  <c r="J7" i="6"/>
  <c r="I7" i="6"/>
  <c r="H7" i="6"/>
  <c r="F7" i="6"/>
  <c r="E7" i="6"/>
  <c r="D7" i="6"/>
  <c r="C7" i="6"/>
  <c r="B7" i="6"/>
  <c r="B27" i="5" l="1"/>
  <c r="K20" i="5"/>
  <c r="G20" i="5"/>
  <c r="F20" i="5"/>
  <c r="B20" i="5"/>
  <c r="K19" i="5"/>
  <c r="G19" i="5"/>
  <c r="F19" i="5"/>
  <c r="B19" i="5"/>
  <c r="K18" i="5"/>
  <c r="G18" i="5"/>
  <c r="F18" i="5"/>
  <c r="B18" i="5"/>
  <c r="K17" i="5"/>
  <c r="G17" i="5"/>
  <c r="F17" i="5"/>
  <c r="B17" i="5"/>
  <c r="K16" i="5"/>
  <c r="G16" i="5"/>
  <c r="F16" i="5"/>
  <c r="B16" i="5"/>
  <c r="K15" i="5"/>
  <c r="G15" i="5"/>
  <c r="F15" i="5"/>
  <c r="B15" i="5"/>
  <c r="K14" i="5"/>
  <c r="G14" i="5"/>
  <c r="F14" i="5"/>
  <c r="B14" i="5"/>
  <c r="K13" i="5"/>
  <c r="F13" i="5"/>
  <c r="C13" i="5"/>
  <c r="G13" i="5" s="1"/>
  <c r="B13" i="5"/>
  <c r="K12" i="5"/>
  <c r="F12" i="5"/>
  <c r="C12" i="5"/>
  <c r="G12" i="5" s="1"/>
  <c r="B12" i="5"/>
  <c r="K11" i="5"/>
  <c r="G11" i="5"/>
  <c r="F11" i="5"/>
  <c r="F7" i="5" s="1"/>
  <c r="C11" i="5"/>
  <c r="B11" i="5"/>
  <c r="K10" i="5"/>
  <c r="G10" i="5"/>
  <c r="F10" i="5"/>
  <c r="C10" i="5"/>
  <c r="B10" i="5"/>
  <c r="K9" i="5"/>
  <c r="K7" i="5" s="1"/>
  <c r="F9" i="5"/>
  <c r="C9" i="5"/>
  <c r="G9" i="5" s="1"/>
  <c r="B9" i="5"/>
  <c r="B7" i="5" s="1"/>
  <c r="J7" i="5"/>
  <c r="I7" i="5"/>
  <c r="H7" i="5"/>
  <c r="E7" i="5"/>
  <c r="D7" i="5"/>
  <c r="G7" i="5" l="1"/>
  <c r="C7" i="5"/>
  <c r="B27" i="4" l="1"/>
  <c r="F20" i="4"/>
  <c r="C20" i="4"/>
  <c r="B20" i="4"/>
  <c r="F19" i="4"/>
  <c r="C19" i="4"/>
  <c r="B19" i="4"/>
  <c r="F18" i="4"/>
  <c r="C18" i="4"/>
  <c r="B18" i="4"/>
  <c r="F17" i="4"/>
  <c r="C17" i="4"/>
  <c r="B17" i="4"/>
  <c r="F16" i="4"/>
  <c r="C16" i="4"/>
  <c r="B16" i="4"/>
  <c r="F15" i="4"/>
  <c r="C15" i="4"/>
  <c r="B15" i="4"/>
  <c r="F14" i="4"/>
  <c r="C14" i="4"/>
  <c r="B14" i="4"/>
  <c r="F13" i="4"/>
  <c r="C13" i="4"/>
  <c r="B13" i="4"/>
  <c r="F12" i="4"/>
  <c r="C12" i="4"/>
  <c r="B12" i="4"/>
  <c r="F11" i="4"/>
  <c r="C11" i="4"/>
  <c r="B11" i="4"/>
  <c r="F10" i="4"/>
  <c r="C10" i="4"/>
  <c r="B10" i="4"/>
  <c r="F9" i="4"/>
  <c r="C9" i="4"/>
  <c r="C7" i="4" s="1"/>
  <c r="B9" i="4"/>
  <c r="H7" i="4"/>
  <c r="G7" i="4"/>
  <c r="E7" i="4"/>
  <c r="D7" i="4"/>
  <c r="B7" i="4" l="1"/>
  <c r="F7" i="4"/>
  <c r="B27" i="3" l="1"/>
  <c r="F20" i="3"/>
  <c r="C20" i="3"/>
  <c r="B20" i="3"/>
  <c r="F19" i="3"/>
  <c r="C19" i="3"/>
  <c r="B19" i="3"/>
  <c r="F18" i="3"/>
  <c r="C18" i="3"/>
  <c r="B18" i="3"/>
  <c r="F17" i="3"/>
  <c r="C17" i="3"/>
  <c r="B17" i="3"/>
  <c r="F16" i="3"/>
  <c r="C16" i="3"/>
  <c r="B16" i="3"/>
  <c r="F15" i="3"/>
  <c r="C15" i="3"/>
  <c r="B15" i="3"/>
  <c r="F14" i="3"/>
  <c r="C14" i="3"/>
  <c r="B14" i="3"/>
  <c r="F13" i="3"/>
  <c r="C13" i="3"/>
  <c r="B13" i="3"/>
  <c r="F12" i="3"/>
  <c r="C12" i="3"/>
  <c r="B12" i="3"/>
  <c r="F11" i="3"/>
  <c r="C11" i="3"/>
  <c r="B11" i="3"/>
  <c r="F10" i="3"/>
  <c r="C10" i="3"/>
  <c r="B10" i="3"/>
  <c r="F9" i="3"/>
  <c r="C9" i="3"/>
  <c r="C7" i="3" s="1"/>
  <c r="B9" i="3"/>
  <c r="H7" i="3"/>
  <c r="G7" i="3"/>
  <c r="F7" i="3"/>
  <c r="E7" i="3"/>
  <c r="D7" i="3"/>
  <c r="B7" i="3"/>
  <c r="B30" i="2" l="1"/>
  <c r="B27" i="2"/>
  <c r="F20" i="2"/>
  <c r="F7" i="2" s="1"/>
  <c r="B20" i="2"/>
  <c r="F19" i="2"/>
  <c r="B19" i="2"/>
  <c r="F18" i="2"/>
  <c r="C18" i="2"/>
  <c r="B18" i="2"/>
  <c r="F17" i="2"/>
  <c r="C17" i="2"/>
  <c r="B17" i="2"/>
  <c r="F16" i="2"/>
  <c r="C16" i="2"/>
  <c r="B16" i="2"/>
  <c r="F15" i="2"/>
  <c r="C15" i="2"/>
  <c r="B15" i="2"/>
  <c r="F14" i="2"/>
  <c r="C14" i="2"/>
  <c r="B14" i="2"/>
  <c r="F13" i="2"/>
  <c r="C13" i="2"/>
  <c r="B13" i="2"/>
  <c r="F12" i="2"/>
  <c r="C12" i="2"/>
  <c r="B12" i="2"/>
  <c r="F11" i="2"/>
  <c r="C11" i="2"/>
  <c r="B11" i="2"/>
  <c r="F10" i="2"/>
  <c r="C10" i="2"/>
  <c r="B10" i="2"/>
  <c r="F9" i="2"/>
  <c r="C9" i="2"/>
  <c r="B9" i="2"/>
  <c r="B7" i="2" s="1"/>
  <c r="I7" i="2"/>
  <c r="H7" i="2"/>
  <c r="E7" i="2"/>
  <c r="D7" i="2"/>
  <c r="G7" i="2" l="1"/>
  <c r="C7" i="2"/>
  <c r="B27" i="1"/>
  <c r="F20" i="1"/>
  <c r="C20" i="1"/>
  <c r="B20" i="1"/>
  <c r="F19" i="1"/>
  <c r="C19" i="1"/>
  <c r="B19" i="1"/>
  <c r="F18" i="1"/>
  <c r="C18" i="1"/>
  <c r="B18" i="1"/>
  <c r="F17" i="1"/>
  <c r="C17" i="1"/>
  <c r="B17" i="1"/>
  <c r="F16" i="1"/>
  <c r="C16" i="1"/>
  <c r="B16" i="1"/>
  <c r="F15" i="1"/>
  <c r="C15" i="1"/>
  <c r="B15" i="1"/>
  <c r="F14" i="1"/>
  <c r="C14" i="1"/>
  <c r="B14" i="1"/>
  <c r="F13" i="1"/>
  <c r="C13" i="1"/>
  <c r="B13" i="1"/>
  <c r="F12" i="1"/>
  <c r="C12" i="1"/>
  <c r="B12" i="1"/>
  <c r="F11" i="1"/>
  <c r="C11" i="1"/>
  <c r="B11" i="1"/>
  <c r="F10" i="1"/>
  <c r="C10" i="1"/>
  <c r="B10" i="1"/>
  <c r="B7" i="1" s="1"/>
  <c r="F9" i="1"/>
  <c r="C9" i="1"/>
  <c r="C7" i="1" s="1"/>
  <c r="B9" i="1"/>
  <c r="H7" i="1"/>
  <c r="G7" i="1"/>
  <c r="F7" i="1"/>
  <c r="E7" i="1"/>
  <c r="D7" i="1"/>
</calcChain>
</file>

<file path=xl/sharedStrings.xml><?xml version="1.0" encoding="utf-8"?>
<sst xmlns="http://schemas.openxmlformats.org/spreadsheetml/2006/main" count="350" uniqueCount="68">
  <si>
    <t>REPÚBLICA DOMINICANA: Producción de agua potable, aguas residuales y tratadas y número de clientes de la CAASD, según mes, 2012</t>
  </si>
  <si>
    <t xml:space="preserve">    Mes</t>
  </si>
  <si>
    <r>
      <t>Producción de agua potable por la CAASD</t>
    </r>
    <r>
      <rPr>
        <vertAlign val="superscript"/>
        <sz val="9"/>
        <rFont val="Franklin Gothic Demi"/>
        <family val="2"/>
      </rPr>
      <t>1</t>
    </r>
  </si>
  <si>
    <r>
      <t>Producción de aguas residuales</t>
    </r>
    <r>
      <rPr>
        <vertAlign val="superscript"/>
        <sz val="9"/>
        <rFont val="Franklin Gothic Demi"/>
        <family val="2"/>
      </rPr>
      <t>2</t>
    </r>
  </si>
  <si>
    <r>
      <t>Aguas residuales recolectadas en el sistema de alcantarillado sanitario</t>
    </r>
    <r>
      <rPr>
        <vertAlign val="superscript"/>
        <sz val="9"/>
        <rFont val="Franklin Gothic Demi"/>
        <family val="2"/>
      </rPr>
      <t>3</t>
    </r>
  </si>
  <si>
    <t>Cantidad de aguas residuales tratadas</t>
  </si>
  <si>
    <r>
      <t>% de aguas residuales tratadas</t>
    </r>
    <r>
      <rPr>
        <vertAlign val="superscript"/>
        <sz val="9"/>
        <rFont val="Franklin Gothic Demi"/>
        <family val="2"/>
      </rPr>
      <t>4</t>
    </r>
  </si>
  <si>
    <r>
      <t>Promedio mensual de usuarios agua potable</t>
    </r>
    <r>
      <rPr>
        <vertAlign val="superscript"/>
        <sz val="9"/>
        <rFont val="Franklin Gothic Demi"/>
        <family val="2"/>
      </rPr>
      <t>5</t>
    </r>
  </si>
  <si>
    <r>
      <t>Promedio mensual de usuarios de alcantarillado</t>
    </r>
    <r>
      <rPr>
        <vertAlign val="superscript"/>
        <sz val="9"/>
        <rFont val="Franklin Gothic Demi"/>
        <family val="2"/>
      </rPr>
      <t>6</t>
    </r>
  </si>
  <si>
    <r>
      <t>m</t>
    </r>
    <r>
      <rPr>
        <vertAlign val="superscript"/>
        <sz val="9"/>
        <rFont val="Franklin Gothic Demi"/>
        <family val="2"/>
      </rPr>
      <t>3</t>
    </r>
    <r>
      <rPr>
        <sz val="9"/>
        <rFont val="Franklin Gothic Demi"/>
        <family val="2"/>
      </rPr>
      <t xml:space="preserve"> por día</t>
    </r>
  </si>
  <si>
    <t>%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</si>
  <si>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</si>
  <si>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</si>
  <si>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</si>
  <si>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</si>
  <si>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</si>
  <si>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</si>
  <si>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</si>
  <si>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</si>
  <si>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</si>
  <si>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</si>
  <si>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</si>
  <si>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</si>
  <si>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r>
      <rPr>
        <vertAlign val="superscript"/>
        <sz val="7"/>
        <rFont val="Franklin Gothic Book"/>
        <family val="2"/>
      </rPr>
      <t>1</t>
    </r>
    <r>
      <rPr>
        <sz val="7"/>
        <rFont val="Franklin Gothic Book"/>
        <family val="2"/>
      </rPr>
      <t>: Los datos proporcionados por la CAASD vienen dados en Millones de Galones Diarios (MGD), para convertirlos a M3 se utilizó la fórmula M3/D = (MGD/264.18) x 1000000</t>
    </r>
  </si>
  <si>
    <r>
      <rPr>
        <vertAlign val="superscript"/>
        <sz val="7"/>
        <rFont val="Franklin Gothic Book"/>
        <family val="2"/>
      </rPr>
      <t>2</t>
    </r>
    <r>
      <rPr>
        <sz val="7"/>
        <rFont val="Franklin Gothic Book"/>
        <family val="2"/>
      </rPr>
      <t>: La producción de aguas residuales equivale al 80% de la producción de agua total y la dotacion por persona para la poblacion del Distrito Nacional y la Provincia de Santo Domingo</t>
    </r>
  </si>
  <si>
    <r>
      <rPr>
        <vertAlign val="superscript"/>
        <sz val="7"/>
        <rFont val="Franklin Gothic Book"/>
        <family val="2"/>
      </rPr>
      <t>3</t>
    </r>
    <r>
      <rPr>
        <sz val="7"/>
        <rFont val="Franklin Gothic Book"/>
        <family val="2"/>
      </rPr>
      <t>: Aguas residuales recolectadas en el sistema de alcantarillado sanitario es igual a población con servicio de alcatarillado * 300 * 0.8] / 1000</t>
    </r>
  </si>
  <si>
    <r>
      <rPr>
        <vertAlign val="superscript"/>
        <sz val="7"/>
        <rFont val="Franklin Gothic Book"/>
        <family val="2"/>
      </rPr>
      <t>4</t>
    </r>
    <r>
      <rPr>
        <sz val="7"/>
        <rFont val="Franklin Gothic Book"/>
        <family val="2"/>
      </rPr>
      <t>: El porciento de aguas residuales tratadas es igual a la cantidad aguas residuales tratadas / cantidad recolectada</t>
    </r>
  </si>
  <si>
    <r>
      <rPr>
        <vertAlign val="superscript"/>
        <sz val="7"/>
        <rFont val="Franklin Gothic Book"/>
        <family val="2"/>
      </rPr>
      <t>5</t>
    </r>
    <r>
      <rPr>
        <sz val="7"/>
        <rFont val="Franklin Gothic Book"/>
        <family val="2"/>
      </rPr>
      <t>: Usuarios número de viviendas a las que se le facturan los servicios</t>
    </r>
  </si>
  <si>
    <r>
      <rPr>
        <vertAlign val="superscript"/>
        <sz val="7"/>
        <rFont val="Franklin Gothic Book"/>
        <family val="2"/>
      </rPr>
      <t>6</t>
    </r>
    <r>
      <rPr>
        <sz val="7"/>
        <rFont val="Franklin Gothic Book"/>
        <family val="2"/>
      </rPr>
      <t>: Total promedio simple de los valores mensuales</t>
    </r>
  </si>
  <si>
    <t>m³  por día : Metro cúbico por día</t>
  </si>
  <si>
    <t>Fuente: Registros administrativos, Informe estadístico mensual, Departameto de Planificación, Corporación de Acueducto y Alcantarillado de Santo Domingo, CAASD</t>
  </si>
  <si>
    <t>REPÚBLICA DOMINICANA: Producción de agua potable, aguas residuales y tratadas y número de clientes de la CAASD, según mes, 2013</t>
  </si>
  <si>
    <r>
      <t>% de cobertura de saneamiento de aguas residuales</t>
    </r>
    <r>
      <rPr>
        <vertAlign val="superscript"/>
        <sz val="9"/>
        <rFont val="Franklin Gothic Demi"/>
        <family val="2"/>
      </rPr>
      <t>7</t>
    </r>
  </si>
  <si>
    <t>Observaciones: La disminucion presentada en la matriz a partir de Septiembre se debio a que los servicios de agua y saneamiento del Municipio de Boca Chica paso a la Corporacion del Acueducto de Boca Chica (CORAABO)</t>
  </si>
  <si>
    <r>
      <rPr>
        <vertAlign val="superscript"/>
        <sz val="7"/>
        <rFont val="Franklin Gothic Book"/>
        <family val="2"/>
      </rPr>
      <t>5</t>
    </r>
    <r>
      <rPr>
        <sz val="7"/>
        <rFont val="Franklin Gothic Book"/>
        <family val="2"/>
      </rPr>
      <t>: Usuarios: Número de viviendas a las que se le facturan los servicios</t>
    </r>
  </si>
  <si>
    <r>
      <rPr>
        <vertAlign val="superscript"/>
        <sz val="7"/>
        <rFont val="Franklin Gothic Book"/>
        <family val="2"/>
      </rPr>
      <t>7</t>
    </r>
    <r>
      <rPr>
        <sz val="7"/>
        <rFont val="Franklin Gothic Book"/>
        <family val="2"/>
      </rPr>
      <t>: El porciento de cobertura de saneamiento de aguas residuales es igual a la cantidad aguas residuales tratadas / la produccion de aguas residuales</t>
    </r>
  </si>
  <si>
    <t>REPÚBLICA DOMINICANA: Producción de agua potable, aguas residuales y tratadas y número de clientes de la CAASD, según mes, 2014</t>
  </si>
  <si>
    <t>Fuente: Registros administrativos, Informe estadístico mensual, Departamento de Planificación, Corporación de Acueducto y Alcantarillado de Santo Domingo, CAASD</t>
  </si>
  <si>
    <t>REPÚBLICA DOMINICANA: Producción de agua potable, aguas residuales y tratadas y número de clientes de la CAASD, según mes, 2015</t>
  </si>
  <si>
    <r>
      <rPr>
        <vertAlign val="superscript"/>
        <sz val="7"/>
        <rFont val="Franklin Gothic Book"/>
        <family val="2"/>
      </rPr>
      <t>1</t>
    </r>
    <r>
      <rPr>
        <sz val="7"/>
        <rFont val="Franklin Gothic Book"/>
        <family val="2"/>
      </rPr>
      <t>:  Los datos proporcionados por la CAASD vienen dados en Millones de Galones Diarios (MGD), para convertirlos a M3 se utilizó la fórmula M3/D = (MGD/264.18) x 1000000</t>
    </r>
  </si>
  <si>
    <r>
      <rPr>
        <vertAlign val="superscript"/>
        <sz val="7"/>
        <rFont val="Franklin Gothic Book"/>
        <family val="2"/>
      </rPr>
      <t>6</t>
    </r>
    <r>
      <rPr>
        <sz val="7"/>
        <rFont val="Franklin Gothic Book"/>
        <family val="2"/>
      </rPr>
      <t>: Total: Promedio simple de los valores mensuales</t>
    </r>
  </si>
  <si>
    <t>Fuente: Registros administrativos, Informe estadístico mensual, Departemento de Planificación, Corporación de Acueducto y Alcantarillado de Santo Domingo, CAASD</t>
  </si>
  <si>
    <t>REPÚBLICA DOMINICANA: Producción de agua potable, aguas residuales y tratadas y número de clientes de la CAASD, según mes, 2016</t>
  </si>
  <si>
    <r>
      <t>% agua residuales real tratadas</t>
    </r>
    <r>
      <rPr>
        <vertAlign val="superscript"/>
        <sz val="9"/>
        <rFont val="Franklin Gothic Demi"/>
        <family val="2"/>
      </rPr>
      <t>5</t>
    </r>
  </si>
  <si>
    <r>
      <t>Promedio mensual de usuarios agua potable</t>
    </r>
    <r>
      <rPr>
        <vertAlign val="superscript"/>
        <sz val="9"/>
        <rFont val="Franklin Gothic Demi"/>
        <family val="2"/>
      </rPr>
      <t>6</t>
    </r>
  </si>
  <si>
    <r>
      <t>Promedio mensual de usuarios de alcantarillado</t>
    </r>
    <r>
      <rPr>
        <vertAlign val="superscript"/>
        <sz val="9"/>
        <rFont val="Franklin Gothic Demi"/>
        <family val="2"/>
      </rPr>
      <t>7</t>
    </r>
  </si>
  <si>
    <t>Cantidad de usuarios catastrados, jurisdicción CAASD</t>
  </si>
  <si>
    <t>% de cobertura comercial</t>
  </si>
  <si>
    <t>m³ por día : Metro cúbico por día</t>
  </si>
  <si>
    <r>
      <rPr>
        <vertAlign val="superscript"/>
        <sz val="7"/>
        <rFont val="Franklin Gothic Book"/>
        <family val="2"/>
      </rPr>
      <t>7</t>
    </r>
    <r>
      <rPr>
        <sz val="7"/>
        <rFont val="Franklin Gothic Book"/>
        <family val="2"/>
      </rPr>
      <t>: Total promedio simple de los valores mensuales</t>
    </r>
  </si>
  <si>
    <r>
      <rPr>
        <vertAlign val="superscript"/>
        <sz val="7"/>
        <rFont val="Franklin Gothic Book"/>
        <family val="2"/>
      </rPr>
      <t>6</t>
    </r>
    <r>
      <rPr>
        <sz val="7"/>
        <rFont val="Franklin Gothic Book"/>
        <family val="2"/>
      </rPr>
      <t>: Usuarios número de viviendas a las que se le facturan los servicios</t>
    </r>
  </si>
  <si>
    <r>
      <rPr>
        <vertAlign val="superscript"/>
        <sz val="7"/>
        <rFont val="Franklin Gothic Book"/>
        <family val="2"/>
      </rPr>
      <t>5</t>
    </r>
    <r>
      <rPr>
        <sz val="7"/>
        <rFont val="Franklin Gothic Book"/>
        <family val="2"/>
      </rPr>
      <t>:  El porciento de aguas residuales real tratadas es la cantidad de aguas residuales tratadas entre la producción de aguas residuales, generada en la zona del Distrito Nacional, la Provincia Santo Domingo y sus Municipios.</t>
    </r>
  </si>
  <si>
    <r>
      <rPr>
        <vertAlign val="superscript"/>
        <sz val="7"/>
        <rFont val="Franklin Gothic Book"/>
        <family val="2"/>
      </rPr>
      <t>3</t>
    </r>
    <r>
      <rPr>
        <sz val="7"/>
        <rFont val="Franklin Gothic Book"/>
        <family val="2"/>
      </rPr>
      <t>: Aguas residuales recolectadas en el sistema de alcantarillado sanitario es igual a población con servicio de alcantarilladlo * 300 * 0.8] / 1000</t>
    </r>
  </si>
  <si>
    <r>
      <rPr>
        <vertAlign val="superscript"/>
        <sz val="7"/>
        <rFont val="Franklin Gothic Book"/>
        <family val="2"/>
      </rPr>
      <t>2</t>
    </r>
    <r>
      <rPr>
        <sz val="7"/>
        <rFont val="Franklin Gothic Book"/>
        <family val="2"/>
      </rPr>
      <t>: La producción de aguas residuales equivale al 80% de la producción de agua total y la dotación por persona para la población del Distrito Nacional y la Provincia de Santo Domingo</t>
    </r>
  </si>
  <si>
    <t>Fuente: Registros administrativos, Informe estadístico mensual, Deparmento de Planificación, Corporación de Acueducto y Alcantarillado de Santo Domingo, CAASD</t>
  </si>
  <si>
    <t>REPÚBLICA DOMINICANA: Producción de agua potable, aguas residuales y tratadas y número de clientes de la CAASD, según mes, 2017</t>
  </si>
  <si>
    <t>Promedio total</t>
  </si>
  <si>
    <t>REPÚBLICA DOMINICANA: Producción de agua potable, aguas residuales y tratadas y número de clientes de la CAASD, según mes, 2018</t>
  </si>
  <si>
    <r>
      <rPr>
        <vertAlign val="superscript"/>
        <sz val="7"/>
        <rFont val="Franklin Gothic Book"/>
        <family val="2"/>
      </rPr>
      <t>5</t>
    </r>
    <r>
      <rPr>
        <sz val="7"/>
        <rFont val="Franklin Gothic Book"/>
        <family val="2"/>
      </rPr>
      <t>: El porciento de aguas residuales real tratadas es la cantidad de aguas residuales tratadas entre la producción de aguas residuales, generada en la zona del Distrito Nacional, la Provincia Santo Domingo y sus Municipios.</t>
    </r>
  </si>
  <si>
    <r>
      <rPr>
        <vertAlign val="superscript"/>
        <sz val="7"/>
        <rFont val="Franklin Gothic Book"/>
        <family val="2"/>
      </rPr>
      <t>6</t>
    </r>
    <r>
      <rPr>
        <sz val="7"/>
        <rFont val="Franklin Gothic Book"/>
        <family val="2"/>
      </rPr>
      <t>: Usuarios: Número de viviendas a las que se le facturan los servicios</t>
    </r>
  </si>
  <si>
    <t>REPÚBLICA DOMINICANA: Producción de agua potable, aguas residuales y tratadas y número de clientes de la CAASD, según mes, 2019</t>
  </si>
  <si>
    <t>Promedio mensual de usuarios de alcantarillado</t>
  </si>
  <si>
    <r>
      <t>Promedio total</t>
    </r>
    <r>
      <rPr>
        <vertAlign val="superscript"/>
        <sz val="9"/>
        <rFont val="Franklin Gothic Demi"/>
        <family val="2"/>
      </rPr>
      <t>7</t>
    </r>
  </si>
  <si>
    <t>56.312.89</t>
  </si>
  <si>
    <r>
      <rPr>
        <vertAlign val="superscript"/>
        <sz val="7"/>
        <rFont val="Franklin Gothic Book"/>
        <family val="2"/>
      </rPr>
      <t>1</t>
    </r>
    <r>
      <rPr>
        <sz val="7"/>
        <rFont val="Franklin Gothic Book"/>
        <family val="2"/>
      </rPr>
      <t>:Los datos proporcionados por la CAASD vienen dados en Millones de Galones Diarios (MGD), para convertirlos a M3 se utilizó la fórmula M3/D = (MGD/264.18) x 1000000</t>
    </r>
  </si>
  <si>
    <r>
      <rPr>
        <vertAlign val="superscript"/>
        <sz val="7"/>
        <rFont val="Franklin Gothic Book"/>
        <family val="2"/>
      </rPr>
      <t>7</t>
    </r>
    <r>
      <rPr>
        <sz val="7"/>
        <rFont val="Franklin Gothic Book"/>
        <family val="2"/>
      </rPr>
      <t>: Total: Promedio simple de los valores mensuales</t>
    </r>
  </si>
  <si>
    <t>REPÚBLICA DOMINICANA: Producción de agua potable, aguas residuales y tratadas y número de clientes de la CAASD, según mes, 2020</t>
  </si>
  <si>
    <t>Fuente: Registros administrativos, Informe estadístico mensual, Departamento de Planificación, Corporación de Acueducto y Alcantarillado de Santo Domingo, (CAASD)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</si>
</sst>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%"/>
    <numFmt numFmtId="165" formatCode="_(* #,##0.00_);_(* \(#,##0.00\);_(* \-??_);_(@_)"/>
    <numFmt numFmtId="166" formatCode="#,##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Franklin Gothic Demi"/>
      <family val="2"/>
    </font>
    <font>
      <sz val="9"/>
      <name val="Franklin Gothic Book"/>
      <family val="2"/>
    </font>
    <font>
      <sz val="9"/>
      <name val="Arial"/>
      <family val="2"/>
    </font>
    <font>
      <vertAlign val="superscript"/>
      <sz val="9"/>
      <name val="Franklin Gothic Demi"/>
      <family val="2"/>
    </font>
    <font>
      <sz val="10"/>
      <name val="Arial"/>
      <family val="2"/>
    </font>
    <font>
      <sz val="8"/>
      <name val="Franklin Gothic Demi"/>
      <family val="2"/>
    </font>
    <font>
      <sz val="7"/>
      <name val="Franklin Gothic Book"/>
      <family val="2"/>
    </font>
    <font>
      <vertAlign val="superscript"/>
      <sz val="7"/>
      <name val="Franklin Gothic Book"/>
      <family val="2"/>
    </font>
    <font>
      <sz val="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9" fontId="7" fillId="0" borderId="0" applyFill="0" applyBorder="0" applyAlignment="0" applyProtection="0"/>
    <xf numFmtId="165" fontId="7" fillId="0" borderId="0" applyFill="0" applyBorder="0" applyAlignment="0" applyProtection="0"/>
  </cellStyleXfs>
  <cellXfs count="92">
    <xf numFmtId="0" fontId="0" fillId="0" borderId="0" xfId="0"/>
    <xf numFmtId="0" fontId="0" fillId="2" borderId="0" xfId="0" applyFill="1"/>
    <xf numFmtId="0" fontId="3" fillId="3" borderId="0" xfId="3" applyFont="1" applyFill="1" applyAlignment="1">
      <alignment vertical="center" wrapText="1"/>
    </xf>
    <xf numFmtId="0" fontId="3" fillId="3" borderId="0" xfId="3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164" fontId="3" fillId="3" borderId="0" xfId="3" applyNumberFormat="1" applyFont="1" applyFill="1" applyAlignment="1">
      <alignment horizontal="center" vertical="center" wrapText="1"/>
    </xf>
    <xf numFmtId="0" fontId="5" fillId="3" borderId="0" xfId="0" applyFont="1" applyFill="1"/>
    <xf numFmtId="0" fontId="3" fillId="3" borderId="1" xfId="3" applyFont="1" applyFill="1" applyBorder="1" applyAlignment="1">
      <alignment horizontal="center" vertical="center" wrapText="1"/>
    </xf>
    <xf numFmtId="0" fontId="3" fillId="3" borderId="3" xfId="3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164" fontId="4" fillId="3" borderId="0" xfId="3" applyNumberFormat="1" applyFont="1" applyFill="1" applyAlignment="1">
      <alignment horizontal="center" vertical="center" wrapText="1"/>
    </xf>
    <xf numFmtId="0" fontId="3" fillId="3" borderId="0" xfId="0" applyFont="1" applyFill="1" applyAlignment="1">
      <alignment horizontal="left" vertical="justify" wrapText="1" indent="1"/>
    </xf>
    <xf numFmtId="4" fontId="3" fillId="3" borderId="0" xfId="3" applyNumberFormat="1" applyFont="1" applyFill="1" applyAlignment="1">
      <alignment horizontal="right" vertical="justify" wrapText="1" indent="1"/>
    </xf>
    <xf numFmtId="3" fontId="3" fillId="3" borderId="0" xfId="3" applyNumberFormat="1" applyFont="1" applyFill="1" applyAlignment="1">
      <alignment horizontal="right" vertical="justify" wrapText="1" indent="1"/>
    </xf>
    <xf numFmtId="0" fontId="3" fillId="3" borderId="0" xfId="3" applyFont="1" applyFill="1" applyAlignment="1">
      <alignment horizontal="left" vertical="justify" wrapText="1" indent="1"/>
    </xf>
    <xf numFmtId="0" fontId="3" fillId="3" borderId="0" xfId="3" applyFont="1" applyFill="1" applyAlignment="1">
      <alignment horizontal="right" vertical="justify" wrapText="1" indent="1"/>
    </xf>
    <xf numFmtId="0" fontId="3" fillId="3" borderId="0" xfId="0" applyFont="1" applyFill="1" applyAlignment="1">
      <alignment horizontal="right" vertical="justify" wrapText="1" indent="1"/>
    </xf>
    <xf numFmtId="4" fontId="4" fillId="3" borderId="0" xfId="4" applyNumberFormat="1" applyFont="1" applyFill="1" applyBorder="1" applyAlignment="1" applyProtection="1">
      <alignment horizontal="right" vertical="justify" wrapText="1" indent="1"/>
    </xf>
    <xf numFmtId="0" fontId="5" fillId="3" borderId="0" xfId="0" applyFont="1" applyFill="1" applyAlignment="1">
      <alignment horizontal="right" vertical="justify" wrapText="1" indent="1"/>
    </xf>
    <xf numFmtId="0" fontId="4" fillId="3" borderId="0" xfId="0" applyFont="1" applyFill="1" applyAlignment="1">
      <alignment horizontal="left" vertical="justify" wrapText="1" indent="1"/>
    </xf>
    <xf numFmtId="4" fontId="4" fillId="3" borderId="0" xfId="3" applyNumberFormat="1" applyFont="1" applyFill="1" applyAlignment="1">
      <alignment horizontal="right" vertical="justify" wrapText="1" indent="1"/>
    </xf>
    <xf numFmtId="4" fontId="4" fillId="3" borderId="0" xfId="5" applyNumberFormat="1" applyFont="1" applyFill="1" applyBorder="1" applyAlignment="1" applyProtection="1">
      <alignment horizontal="right" vertical="justify" wrapText="1" indent="1"/>
    </xf>
    <xf numFmtId="3" fontId="4" fillId="3" borderId="0" xfId="4" applyNumberFormat="1" applyFont="1" applyFill="1" applyBorder="1" applyAlignment="1" applyProtection="1">
      <alignment horizontal="right" vertical="justify" wrapText="1" indent="1"/>
    </xf>
    <xf numFmtId="0" fontId="8" fillId="3" borderId="2" xfId="3" applyFont="1" applyFill="1" applyBorder="1" applyAlignment="1">
      <alignment vertical="center" wrapText="1"/>
    </xf>
    <xf numFmtId="0" fontId="8" fillId="3" borderId="2" xfId="3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164" fontId="8" fillId="3" borderId="2" xfId="3" applyNumberFormat="1" applyFont="1" applyFill="1" applyBorder="1" applyAlignment="1">
      <alignment horizontal="center" vertical="center" wrapText="1"/>
    </xf>
    <xf numFmtId="0" fontId="7" fillId="3" borderId="2" xfId="0" applyFont="1" applyFill="1" applyBorder="1"/>
    <xf numFmtId="0" fontId="8" fillId="3" borderId="0" xfId="3" applyFont="1" applyFill="1" applyAlignment="1">
      <alignment vertical="center" wrapText="1"/>
    </xf>
    <xf numFmtId="0" fontId="8" fillId="3" borderId="0" xfId="3" applyFont="1" applyFill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164" fontId="8" fillId="3" borderId="0" xfId="3" applyNumberFormat="1" applyFont="1" applyFill="1" applyAlignment="1">
      <alignment horizontal="center" vertical="center" wrapText="1"/>
    </xf>
    <xf numFmtId="0" fontId="7" fillId="3" borderId="0" xfId="0" applyFont="1" applyFill="1"/>
    <xf numFmtId="0" fontId="3" fillId="3" borderId="3" xfId="3" applyFont="1" applyFill="1" applyBorder="1" applyAlignment="1">
      <alignment horizontal="right" vertical="center" wrapText="1" indent="1"/>
    </xf>
    <xf numFmtId="0" fontId="3" fillId="2" borderId="0" xfId="3" applyFont="1" applyFill="1" applyAlignment="1">
      <alignment vertical="center" wrapText="1"/>
    </xf>
    <xf numFmtId="0" fontId="3" fillId="2" borderId="0" xfId="3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164" fontId="3" fillId="2" borderId="0" xfId="3" applyNumberFormat="1" applyFont="1" applyFill="1" applyAlignment="1">
      <alignment horizontal="center" vertical="center" wrapText="1"/>
    </xf>
    <xf numFmtId="0" fontId="5" fillId="2" borderId="0" xfId="0" applyFont="1" applyFill="1"/>
    <xf numFmtId="0" fontId="3" fillId="2" borderId="1" xfId="3" applyFont="1" applyFill="1" applyBorder="1" applyAlignment="1">
      <alignment horizontal="center" vertical="center" wrapText="1"/>
    </xf>
    <xf numFmtId="0" fontId="3" fillId="2" borderId="3" xfId="3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164" fontId="4" fillId="2" borderId="0" xfId="3" applyNumberFormat="1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justify" wrapText="1" indent="1"/>
    </xf>
    <xf numFmtId="4" fontId="3" fillId="2" borderId="0" xfId="3" applyNumberFormat="1" applyFont="1" applyFill="1" applyAlignment="1">
      <alignment horizontal="right" vertical="justify" wrapText="1" indent="1"/>
    </xf>
    <xf numFmtId="3" fontId="3" fillId="2" borderId="0" xfId="3" applyNumberFormat="1" applyFont="1" applyFill="1" applyAlignment="1">
      <alignment horizontal="right" vertical="justify" wrapText="1" indent="1"/>
    </xf>
    <xf numFmtId="0" fontId="3" fillId="2" borderId="0" xfId="3" applyFont="1" applyFill="1" applyAlignment="1">
      <alignment horizontal="left" vertical="justify" wrapText="1" indent="1"/>
    </xf>
    <xf numFmtId="0" fontId="3" fillId="2" borderId="0" xfId="3" applyFont="1" applyFill="1" applyAlignment="1">
      <alignment horizontal="right" vertical="justify" wrapText="1" indent="1"/>
    </xf>
    <xf numFmtId="0" fontId="3" fillId="2" borderId="0" xfId="0" applyFont="1" applyFill="1" applyAlignment="1">
      <alignment horizontal="right" vertical="justify" wrapText="1" indent="1"/>
    </xf>
    <xf numFmtId="4" fontId="4" fillId="2" borderId="0" xfId="4" applyNumberFormat="1" applyFont="1" applyFill="1" applyBorder="1" applyAlignment="1" applyProtection="1">
      <alignment horizontal="right" vertical="justify" wrapText="1" indent="1"/>
    </xf>
    <xf numFmtId="0" fontId="5" fillId="2" borderId="0" xfId="0" applyFont="1" applyFill="1" applyAlignment="1">
      <alignment horizontal="right" vertical="justify" wrapText="1" indent="1"/>
    </xf>
    <xf numFmtId="0" fontId="4" fillId="2" borderId="0" xfId="0" applyFont="1" applyFill="1" applyAlignment="1">
      <alignment horizontal="left" vertical="justify" wrapText="1" indent="1"/>
    </xf>
    <xf numFmtId="4" fontId="4" fillId="2" borderId="0" xfId="3" applyNumberFormat="1" applyFont="1" applyFill="1" applyAlignment="1">
      <alignment horizontal="right" vertical="justify" wrapText="1" indent="1"/>
    </xf>
    <xf numFmtId="4" fontId="4" fillId="2" borderId="0" xfId="5" applyNumberFormat="1" applyFont="1" applyFill="1" applyBorder="1" applyAlignment="1" applyProtection="1">
      <alignment horizontal="right" vertical="justify" wrapText="1" indent="1"/>
    </xf>
    <xf numFmtId="3" fontId="4" fillId="2" borderId="0" xfId="4" applyNumberFormat="1" applyFont="1" applyFill="1" applyBorder="1" applyAlignment="1" applyProtection="1">
      <alignment horizontal="right" vertical="justify" wrapText="1" indent="1"/>
    </xf>
    <xf numFmtId="0" fontId="8" fillId="2" borderId="2" xfId="3" applyFont="1" applyFill="1" applyBorder="1" applyAlignment="1">
      <alignment vertical="center" wrapText="1"/>
    </xf>
    <xf numFmtId="0" fontId="8" fillId="2" borderId="2" xfId="3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164" fontId="8" fillId="2" borderId="2" xfId="3" applyNumberFormat="1" applyFont="1" applyFill="1" applyBorder="1" applyAlignment="1">
      <alignment horizontal="center" vertical="center" wrapText="1"/>
    </xf>
    <xf numFmtId="0" fontId="7" fillId="2" borderId="2" xfId="0" applyFont="1" applyFill="1" applyBorder="1"/>
    <xf numFmtId="0" fontId="8" fillId="2" borderId="0" xfId="3" applyFont="1" applyFill="1" applyAlignment="1">
      <alignment vertical="center" wrapText="1"/>
    </xf>
    <xf numFmtId="0" fontId="8" fillId="2" borderId="0" xfId="3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164" fontId="8" fillId="2" borderId="0" xfId="3" applyNumberFormat="1" applyFont="1" applyFill="1" applyAlignment="1">
      <alignment horizontal="center" vertical="center" wrapText="1"/>
    </xf>
    <xf numFmtId="0" fontId="7" fillId="2" borderId="0" xfId="0" applyFont="1" applyFill="1"/>
    <xf numFmtId="0" fontId="3" fillId="3" borderId="0" xfId="0" applyFont="1" applyFill="1"/>
    <xf numFmtId="0" fontId="4" fillId="3" borderId="0" xfId="0" applyFont="1" applyFill="1"/>
    <xf numFmtId="43" fontId="5" fillId="3" borderId="0" xfId="1" applyFont="1" applyFill="1"/>
    <xf numFmtId="0" fontId="11" fillId="3" borderId="0" xfId="0" applyFont="1" applyFill="1"/>
    <xf numFmtId="0" fontId="5" fillId="3" borderId="3" xfId="0" applyFont="1" applyFill="1" applyBorder="1"/>
    <xf numFmtId="166" fontId="3" fillId="3" borderId="0" xfId="3" applyNumberFormat="1" applyFont="1" applyFill="1" applyAlignment="1">
      <alignment horizontal="center" vertical="justify" wrapText="1"/>
    </xf>
    <xf numFmtId="3" fontId="3" fillId="3" borderId="0" xfId="3" applyNumberFormat="1" applyFont="1" applyFill="1" applyAlignment="1">
      <alignment horizontal="center" vertical="justify" wrapText="1"/>
    </xf>
    <xf numFmtId="166" fontId="4" fillId="3" borderId="0" xfId="4" applyNumberFormat="1" applyFont="1" applyFill="1" applyBorder="1" applyAlignment="1" applyProtection="1">
      <alignment horizontal="center" vertical="justify" wrapText="1"/>
    </xf>
    <xf numFmtId="0" fontId="5" fillId="3" borderId="0" xfId="0" applyFont="1" applyFill="1" applyAlignment="1">
      <alignment horizontal="center"/>
    </xf>
    <xf numFmtId="3" fontId="4" fillId="3" borderId="0" xfId="4" applyNumberFormat="1" applyFont="1" applyFill="1" applyBorder="1" applyAlignment="1" applyProtection="1">
      <alignment horizontal="center" vertical="justify" wrapText="1"/>
    </xf>
    <xf numFmtId="0" fontId="3" fillId="3" borderId="0" xfId="0" applyFont="1" applyFill="1" applyAlignment="1">
      <alignment horizontal="center" vertical="justify" wrapText="1"/>
    </xf>
    <xf numFmtId="2" fontId="3" fillId="2" borderId="0" xfId="2" applyNumberFormat="1" applyFont="1" applyFill="1" applyBorder="1" applyAlignment="1">
      <alignment horizontal="right" vertical="justify" wrapText="1" indent="1"/>
    </xf>
    <xf numFmtId="2" fontId="4" fillId="2" borderId="0" xfId="4" applyNumberFormat="1" applyFont="1" applyFill="1" applyBorder="1" applyAlignment="1" applyProtection="1">
      <alignment horizontal="right" vertical="justify" wrapText="1" indent="1"/>
    </xf>
    <xf numFmtId="2" fontId="4" fillId="2" borderId="0" xfId="2" applyNumberFormat="1" applyFont="1" applyFill="1" applyBorder="1" applyAlignment="1" applyProtection="1">
      <alignment horizontal="right" vertical="justify" wrapText="1" indent="1"/>
    </xf>
    <xf numFmtId="0" fontId="9" fillId="3" borderId="0" xfId="3" applyFont="1" applyFill="1" applyAlignment="1">
      <alignment horizontal="left" vertical="center" wrapText="1"/>
    </xf>
    <xf numFmtId="0" fontId="3" fillId="3" borderId="0" xfId="3" applyFont="1" applyFill="1" applyAlignment="1">
      <alignment horizontal="center"/>
    </xf>
    <xf numFmtId="0" fontId="4" fillId="3" borderId="0" xfId="3" applyFont="1" applyFill="1" applyAlignment="1">
      <alignment horizontal="center"/>
    </xf>
    <xf numFmtId="0" fontId="3" fillId="3" borderId="1" xfId="3" applyFont="1" applyFill="1" applyBorder="1" applyAlignment="1">
      <alignment horizontal="left" vertical="center" wrapText="1"/>
    </xf>
    <xf numFmtId="0" fontId="3" fillId="3" borderId="2" xfId="3" applyFont="1" applyFill="1" applyBorder="1" applyAlignment="1">
      <alignment horizontal="left" vertical="center" wrapText="1"/>
    </xf>
    <xf numFmtId="0" fontId="9" fillId="2" borderId="0" xfId="3" applyFont="1" applyFill="1" applyAlignment="1">
      <alignment horizontal="left" vertical="center" wrapText="1" indent="1"/>
    </xf>
    <xf numFmtId="0" fontId="9" fillId="2" borderId="0" xfId="3" applyFont="1" applyFill="1" applyAlignment="1">
      <alignment vertical="center" wrapText="1"/>
    </xf>
    <xf numFmtId="0" fontId="3" fillId="2" borderId="0" xfId="3" applyFont="1" applyFill="1" applyAlignment="1">
      <alignment horizontal="center"/>
    </xf>
    <xf numFmtId="0" fontId="4" fillId="2" borderId="0" xfId="3" applyFont="1" applyFill="1" applyAlignment="1">
      <alignment horizontal="center"/>
    </xf>
    <xf numFmtId="0" fontId="3" fillId="2" borderId="1" xfId="3" applyFont="1" applyFill="1" applyBorder="1" applyAlignment="1">
      <alignment horizontal="left" vertical="center" wrapText="1"/>
    </xf>
    <xf numFmtId="0" fontId="3" fillId="2" borderId="2" xfId="3" applyFont="1" applyFill="1" applyBorder="1" applyAlignment="1">
      <alignment horizontal="left" vertical="center" wrapText="1"/>
    </xf>
    <xf numFmtId="0" fontId="9" fillId="3" borderId="0" xfId="3" applyFont="1" applyFill="1" applyAlignment="1">
      <alignment vertical="center" wrapText="1"/>
    </xf>
    <xf numFmtId="0" fontId="9" fillId="3" borderId="0" xfId="3" applyFont="1" applyFill="1" applyAlignment="1">
      <alignment horizontal="left" vertical="center" wrapText="1" indent="1"/>
    </xf>
  </cellXfs>
  <cellStyles count="6">
    <cellStyle name="Comma 10" xfId="5" xr:uid="{B929ED40-B5EF-4B4C-B861-B6624473A021}"/>
    <cellStyle name="Millares" xfId="1" builtinId="3"/>
    <cellStyle name="Normal" xfId="0" builtinId="0"/>
    <cellStyle name="Normal_Agua Caasd RDC 2" xfId="3" xr:uid="{3D90217C-1677-4E55-9C22-562543C20110}"/>
    <cellStyle name="Percent 2" xfId="4" xr:uid="{93B9377C-1B59-4DC9-81DA-003D448CA109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33CF7.2C6D8500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33CF7.2C6D8500" TargetMode="Externa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33CF7.2C6D8500" TargetMode="Externa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33CF7.2C6D8500" TargetMode="External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33CF7.2C6D8500" TargetMode="Externa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33CF7.2C6D8500" TargetMode="External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33CF7.2C6D8500" TargetMode="External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33CF7.2C6D8500" TargetMode="External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33CF7.2C6D850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590550</xdr:colOff>
      <xdr:row>0</xdr:row>
      <xdr:rowOff>114300</xdr:rowOff>
    </xdr:from>
    <xdr:to>
      <xdr:col>8</xdr:col>
      <xdr:colOff>19050</xdr:colOff>
      <xdr:row>2</xdr:row>
      <xdr:rowOff>19050</xdr:rowOff>
    </xdr:to>
    <xdr:pic>
      <xdr:nvPicPr>
        <xdr:cNvPr id="2" name="Imagen 1" descr="cid:image001.png@01D33CF7.2C6D8500">
          <a:extLst>
            <a:ext uri="{FF2B5EF4-FFF2-40B4-BE49-F238E27FC236}">
              <a16:creationId xmlns:a16="http://schemas.microsoft.com/office/drawing/2014/main" id="{7CC2F7BB-DA9E-4B92-A5FE-146E70FD3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14300"/>
          <a:ext cx="4667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485775</xdr:colOff>
      <xdr:row>0</xdr:row>
      <xdr:rowOff>152400</xdr:rowOff>
    </xdr:from>
    <xdr:to>
      <xdr:col>9</xdr:col>
      <xdr:colOff>19050</xdr:colOff>
      <xdr:row>2</xdr:row>
      <xdr:rowOff>57150</xdr:rowOff>
    </xdr:to>
    <xdr:pic>
      <xdr:nvPicPr>
        <xdr:cNvPr id="2" name="Imagen 1" descr="cid:image001.png@01D33CF7.2C6D8500">
          <a:extLst>
            <a:ext uri="{FF2B5EF4-FFF2-40B4-BE49-F238E27FC236}">
              <a16:creationId xmlns:a16="http://schemas.microsoft.com/office/drawing/2014/main" id="{235C24A2-3F7E-40EC-953D-438F6D186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81925" y="152400"/>
          <a:ext cx="4667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695325</xdr:colOff>
      <xdr:row>0</xdr:row>
      <xdr:rowOff>104775</xdr:rowOff>
    </xdr:from>
    <xdr:to>
      <xdr:col>8</xdr:col>
      <xdr:colOff>19050</xdr:colOff>
      <xdr:row>2</xdr:row>
      <xdr:rowOff>47625</xdr:rowOff>
    </xdr:to>
    <xdr:pic>
      <xdr:nvPicPr>
        <xdr:cNvPr id="2" name="Imagen 1" descr="cid:image001.png@01D33CF7.2C6D8500">
          <a:extLst>
            <a:ext uri="{FF2B5EF4-FFF2-40B4-BE49-F238E27FC236}">
              <a16:creationId xmlns:a16="http://schemas.microsoft.com/office/drawing/2014/main" id="{6B80D70D-8A38-42D6-A50C-4EE325E5C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04775"/>
          <a:ext cx="4667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638175</xdr:colOff>
      <xdr:row>0</xdr:row>
      <xdr:rowOff>104775</xdr:rowOff>
    </xdr:from>
    <xdr:to>
      <xdr:col>8</xdr:col>
      <xdr:colOff>0</xdr:colOff>
      <xdr:row>2</xdr:row>
      <xdr:rowOff>47625</xdr:rowOff>
    </xdr:to>
    <xdr:pic>
      <xdr:nvPicPr>
        <xdr:cNvPr id="2" name="Imagen 1" descr="cid:image001.png@01D33CF7.2C6D8500">
          <a:extLst>
            <a:ext uri="{FF2B5EF4-FFF2-40B4-BE49-F238E27FC236}">
              <a16:creationId xmlns:a16="http://schemas.microsoft.com/office/drawing/2014/main" id="{E0EAF37D-6D1C-4637-A921-0624EC097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9575" y="104775"/>
          <a:ext cx="4667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514350</xdr:colOff>
      <xdr:row>0</xdr:row>
      <xdr:rowOff>123825</xdr:rowOff>
    </xdr:from>
    <xdr:to>
      <xdr:col>11</xdr:col>
      <xdr:colOff>9525</xdr:colOff>
      <xdr:row>2</xdr:row>
      <xdr:rowOff>28575</xdr:rowOff>
    </xdr:to>
    <xdr:pic>
      <xdr:nvPicPr>
        <xdr:cNvPr id="2" name="Imagen 1" descr="cid:image001.png@01D33CF7.2C6D8500">
          <a:extLst>
            <a:ext uri="{FF2B5EF4-FFF2-40B4-BE49-F238E27FC236}">
              <a16:creationId xmlns:a16="http://schemas.microsoft.com/office/drawing/2014/main" id="{65C9E8E9-E7E0-4D22-9FD1-2D4726C36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20300" y="123825"/>
          <a:ext cx="4667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504825</xdr:colOff>
      <xdr:row>0</xdr:row>
      <xdr:rowOff>104775</xdr:rowOff>
    </xdr:from>
    <xdr:to>
      <xdr:col>10</xdr:col>
      <xdr:colOff>971550</xdr:colOff>
      <xdr:row>2</xdr:row>
      <xdr:rowOff>47625</xdr:rowOff>
    </xdr:to>
    <xdr:pic>
      <xdr:nvPicPr>
        <xdr:cNvPr id="2" name="Imagen 1" descr="cid:image001.png@01D33CF7.2C6D8500">
          <a:extLst>
            <a:ext uri="{FF2B5EF4-FFF2-40B4-BE49-F238E27FC236}">
              <a16:creationId xmlns:a16="http://schemas.microsoft.com/office/drawing/2014/main" id="{77465745-DAD9-4E05-BEDA-AB902D920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104775"/>
          <a:ext cx="4667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561975</xdr:colOff>
      <xdr:row>0</xdr:row>
      <xdr:rowOff>123825</xdr:rowOff>
    </xdr:from>
    <xdr:to>
      <xdr:col>10</xdr:col>
      <xdr:colOff>1028700</xdr:colOff>
      <xdr:row>2</xdr:row>
      <xdr:rowOff>28575</xdr:rowOff>
    </xdr:to>
    <xdr:pic>
      <xdr:nvPicPr>
        <xdr:cNvPr id="2" name="Imagen 1" descr="cid:image001.png@01D33CF7.2C6D8500">
          <a:extLst>
            <a:ext uri="{FF2B5EF4-FFF2-40B4-BE49-F238E27FC236}">
              <a16:creationId xmlns:a16="http://schemas.microsoft.com/office/drawing/2014/main" id="{24B157F7-EC1F-43B6-BF39-7F4836844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0" y="123825"/>
          <a:ext cx="4667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466725</xdr:colOff>
      <xdr:row>0</xdr:row>
      <xdr:rowOff>123825</xdr:rowOff>
    </xdr:from>
    <xdr:to>
      <xdr:col>11</xdr:col>
      <xdr:colOff>38100</xdr:colOff>
      <xdr:row>2</xdr:row>
      <xdr:rowOff>28575</xdr:rowOff>
    </xdr:to>
    <xdr:pic>
      <xdr:nvPicPr>
        <xdr:cNvPr id="2" name="Imagen 1" descr="cid:image001.png@01D33CF7.2C6D8500">
          <a:extLst>
            <a:ext uri="{FF2B5EF4-FFF2-40B4-BE49-F238E27FC236}">
              <a16:creationId xmlns:a16="http://schemas.microsoft.com/office/drawing/2014/main" id="{F0DA761C-338A-414A-ADC8-9E9793F91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82125" y="123825"/>
          <a:ext cx="4667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638175</xdr:colOff>
      <xdr:row>0</xdr:row>
      <xdr:rowOff>123825</xdr:rowOff>
    </xdr:from>
    <xdr:to>
      <xdr:col>11</xdr:col>
      <xdr:colOff>19050</xdr:colOff>
      <xdr:row>2</xdr:row>
      <xdr:rowOff>28575</xdr:rowOff>
    </xdr:to>
    <xdr:pic>
      <xdr:nvPicPr>
        <xdr:cNvPr id="2" name="Imagen 1" descr="cid:image001.png@01D33CF7.2C6D8500">
          <a:extLst>
            <a:ext uri="{FF2B5EF4-FFF2-40B4-BE49-F238E27FC236}">
              <a16:creationId xmlns:a16="http://schemas.microsoft.com/office/drawing/2014/main" id="{52CAE95C-6F0D-49B6-8ACF-F3F12C981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0" y="123825"/>
          <a:ext cx="4667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1358D9-0FB4-4FFF-BC3B-F553B22AC4D2}">
  <dimension ref="A1:H30"/>
  <sheetViews>
    <sheetView workbookViewId="0">
      <selection activeCell="A10" sqref="A10"/>
    </sheetView>
  </sheetViews>
  <sheetFormatPr baseColWidth="10" defaultRowHeight="15" x14ac:dyDescent="0.25"/>
  <cols>
    <col min="1" max="1" width="13.85546875" style="1" customWidth="1"/>
    <col min="2" max="8" width="15.5703125" style="1" customWidth="1"/>
    <col min="9" max="16384" width="11.42578125" style="1"/>
  </cols>
  <sheetData>
    <row r="1" spans="1:8" x14ac:dyDescent="0.25">
      <c r="A1" s="80"/>
      <c r="B1" s="80"/>
      <c r="C1" s="80"/>
      <c r="D1" s="80"/>
      <c r="E1" s="80"/>
      <c r="F1" s="80"/>
      <c r="G1" s="80"/>
      <c r="H1" s="80"/>
    </row>
    <row r="2" spans="1:8" x14ac:dyDescent="0.25">
      <c r="A2" s="81" t="s">
        <v>0</v>
      </c>
      <c r="B2" s="81"/>
      <c r="C2" s="81"/>
      <c r="D2" s="81"/>
      <c r="E2" s="81"/>
      <c r="F2" s="81"/>
      <c r="G2" s="81"/>
      <c r="H2" s="81"/>
    </row>
    <row r="3" spans="1:8" x14ac:dyDescent="0.25">
      <c r="A3" s="2"/>
      <c r="B3" s="3"/>
      <c r="C3" s="3"/>
      <c r="D3" s="4"/>
      <c r="E3" s="4"/>
      <c r="F3" s="5"/>
      <c r="G3" s="6"/>
      <c r="H3" s="6"/>
    </row>
    <row r="4" spans="1:8" ht="66.75" customHeight="1" x14ac:dyDescent="0.25">
      <c r="A4" s="82" t="s">
        <v>1</v>
      </c>
      <c r="B4" s="7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7" t="s">
        <v>8</v>
      </c>
    </row>
    <row r="5" spans="1:8" x14ac:dyDescent="0.25">
      <c r="A5" s="83"/>
      <c r="B5" s="33" t="s">
        <v>9</v>
      </c>
      <c r="C5" s="33" t="s">
        <v>9</v>
      </c>
      <c r="D5" s="33" t="s">
        <v>9</v>
      </c>
      <c r="E5" s="33" t="s">
        <v>9</v>
      </c>
      <c r="F5" s="33" t="s">
        <v>10</v>
      </c>
      <c r="G5" s="8"/>
      <c r="H5" s="8"/>
    </row>
    <row r="6" spans="1:8" ht="3" customHeight="1" x14ac:dyDescent="0.25">
      <c r="A6" s="2"/>
      <c r="B6" s="3"/>
      <c r="C6" s="3"/>
      <c r="D6" s="9"/>
      <c r="E6" s="9"/>
      <c r="F6" s="10"/>
      <c r="G6" s="6"/>
      <c r="H6" s="6"/>
    </row>
    <row r="7" spans="1:8" ht="14.25" customHeight="1" x14ac:dyDescent="0.25">
      <c r="A7" s="11" t="s">
        <v>56</v>
      </c>
      <c r="B7" s="12">
        <f>AVERAGE(B9:B20)</f>
        <v>1347184.3692431927</v>
      </c>
      <c r="C7" s="12">
        <f t="shared" ref="C7:H7" si="0">AVERAGE(C9:C20)</f>
        <v>801458.40000000026</v>
      </c>
      <c r="D7" s="12">
        <f>AVERAGE(D9:D20)</f>
        <v>127542.045</v>
      </c>
      <c r="E7" s="12">
        <f t="shared" si="0"/>
        <v>30600</v>
      </c>
      <c r="F7" s="12">
        <f t="shared" si="0"/>
        <v>23.995673292268066</v>
      </c>
      <c r="G7" s="13">
        <f t="shared" si="0"/>
        <v>366953.75</v>
      </c>
      <c r="H7" s="13">
        <f t="shared" si="0"/>
        <v>88111.5</v>
      </c>
    </row>
    <row r="8" spans="1:8" ht="3" customHeight="1" x14ac:dyDescent="0.25">
      <c r="A8" s="14"/>
      <c r="B8" s="15"/>
      <c r="C8" s="15"/>
      <c r="D8" s="16"/>
      <c r="E8" s="16"/>
      <c r="F8" s="17"/>
      <c r="G8" s="18"/>
      <c r="H8" s="18"/>
    </row>
    <row r="9" spans="1:8" x14ac:dyDescent="0.25">
      <c r="A9" s="19" t="s">
        <v>11</v>
      </c>
      <c r="B9" s="20">
        <f>(360.63/264.18)*1000000</f>
        <v>1365091.9827390416</v>
      </c>
      <c r="C9" s="20">
        <f>(3339410*300*80%/1000)</f>
        <v>801458.4</v>
      </c>
      <c r="D9" s="21">
        <v>124746.13</v>
      </c>
      <c r="E9" s="20">
        <v>30600</v>
      </c>
      <c r="F9" s="17">
        <f>E9/D9*100</f>
        <v>24.529819081361481</v>
      </c>
      <c r="G9" s="22">
        <v>363213</v>
      </c>
      <c r="H9" s="22">
        <v>87246</v>
      </c>
    </row>
    <row r="10" spans="1:8" x14ac:dyDescent="0.25">
      <c r="A10" s="19" t="s">
        <v>12</v>
      </c>
      <c r="B10" s="20">
        <f>(371.81/264.18)*1000000</f>
        <v>1407411.6132939663</v>
      </c>
      <c r="C10" s="20">
        <f>(3339410*300*80%/1000)</f>
        <v>801458.4</v>
      </c>
      <c r="D10" s="21">
        <v>125051.91</v>
      </c>
      <c r="E10" s="20">
        <v>30600</v>
      </c>
      <c r="F10" s="17">
        <f t="shared" ref="F10:F20" si="1">E10/D10*100</f>
        <v>24.469838165606586</v>
      </c>
      <c r="G10" s="22">
        <v>366944</v>
      </c>
      <c r="H10" s="22">
        <v>87235</v>
      </c>
    </row>
    <row r="11" spans="1:8" x14ac:dyDescent="0.25">
      <c r="A11" s="19" t="s">
        <v>13</v>
      </c>
      <c r="B11" s="20">
        <f>(345.44/264.18)*1000000</f>
        <v>1307593.3075933075</v>
      </c>
      <c r="C11" s="20">
        <f>(3339410*300*80%/1000)</f>
        <v>801458.4</v>
      </c>
      <c r="D11" s="21">
        <v>125731.24</v>
      </c>
      <c r="E11" s="20">
        <v>30600</v>
      </c>
      <c r="F11" s="17">
        <f t="shared" si="1"/>
        <v>24.337626830054326</v>
      </c>
      <c r="G11" s="22">
        <v>367275</v>
      </c>
      <c r="H11" s="22">
        <v>87490</v>
      </c>
    </row>
    <row r="12" spans="1:8" x14ac:dyDescent="0.25">
      <c r="A12" s="19" t="s">
        <v>14</v>
      </c>
      <c r="B12" s="20">
        <f>(339.24/264.18)*1000000</f>
        <v>1284124.4605950487</v>
      </c>
      <c r="C12" s="20">
        <f t="shared" ref="C12:C20" si="2">(3339410*300*80%/1000)</f>
        <v>801458.4</v>
      </c>
      <c r="D12" s="21">
        <v>127143.67999999999</v>
      </c>
      <c r="E12" s="20">
        <v>30600</v>
      </c>
      <c r="F12" s="17">
        <f t="shared" si="1"/>
        <v>24.067259969193909</v>
      </c>
      <c r="G12" s="22">
        <v>367275</v>
      </c>
      <c r="H12" s="22">
        <v>88275</v>
      </c>
    </row>
    <row r="13" spans="1:8" x14ac:dyDescent="0.25">
      <c r="A13" s="19" t="s">
        <v>15</v>
      </c>
      <c r="B13" s="20">
        <f>(333.65/264.18)*1000000</f>
        <v>1262964.6453175864</v>
      </c>
      <c r="C13" s="20">
        <f t="shared" si="2"/>
        <v>801458.4</v>
      </c>
      <c r="D13" s="21">
        <v>127447.24</v>
      </c>
      <c r="E13" s="20">
        <v>30600</v>
      </c>
      <c r="F13" s="17">
        <f t="shared" si="1"/>
        <v>24.009935405427374</v>
      </c>
      <c r="G13" s="22">
        <v>367308</v>
      </c>
      <c r="H13" s="22">
        <v>88374</v>
      </c>
    </row>
    <row r="14" spans="1:8" x14ac:dyDescent="0.25">
      <c r="A14" s="19" t="s">
        <v>16</v>
      </c>
      <c r="B14" s="20">
        <f>(351.41/264.18)*1000000</f>
        <v>1330191.5360738891</v>
      </c>
      <c r="C14" s="20">
        <f t="shared" si="2"/>
        <v>801458.4</v>
      </c>
      <c r="D14" s="21">
        <v>127643.23</v>
      </c>
      <c r="E14" s="20">
        <v>30600</v>
      </c>
      <c r="F14" s="17">
        <f t="shared" si="1"/>
        <v>23.973069312019135</v>
      </c>
      <c r="G14" s="22">
        <v>367358</v>
      </c>
      <c r="H14" s="22">
        <v>88374</v>
      </c>
    </row>
    <row r="15" spans="1:8" x14ac:dyDescent="0.25">
      <c r="A15" s="19" t="s">
        <v>17</v>
      </c>
      <c r="B15" s="20">
        <f>(344.96/264.18)*1000000</f>
        <v>1305776.3645998938</v>
      </c>
      <c r="C15" s="20">
        <f t="shared" si="2"/>
        <v>801458.4</v>
      </c>
      <c r="D15" s="21">
        <v>127814.91</v>
      </c>
      <c r="E15" s="20">
        <v>30600</v>
      </c>
      <c r="F15" s="17">
        <f t="shared" si="1"/>
        <v>23.940868870462765</v>
      </c>
      <c r="G15" s="22">
        <v>367354</v>
      </c>
      <c r="H15" s="22">
        <v>88374</v>
      </c>
    </row>
    <row r="16" spans="1:8" x14ac:dyDescent="0.25">
      <c r="A16" s="19" t="s">
        <v>18</v>
      </c>
      <c r="B16" s="20">
        <f>(339.17/264.18)*1000000</f>
        <v>1283859.4897418427</v>
      </c>
      <c r="C16" s="20">
        <f t="shared" si="2"/>
        <v>801458.4</v>
      </c>
      <c r="D16" s="21">
        <v>128192.15</v>
      </c>
      <c r="E16" s="20">
        <v>30600</v>
      </c>
      <c r="F16" s="17">
        <f t="shared" si="1"/>
        <v>23.870416402252399</v>
      </c>
      <c r="G16" s="22">
        <v>367414</v>
      </c>
      <c r="H16" s="22">
        <v>88387</v>
      </c>
    </row>
    <row r="17" spans="1:8" x14ac:dyDescent="0.25">
      <c r="A17" s="19" t="s">
        <v>19</v>
      </c>
      <c r="B17" s="20">
        <f>(374.59/264.18)*1000000</f>
        <v>1417934.7414641529</v>
      </c>
      <c r="C17" s="20">
        <f t="shared" si="2"/>
        <v>801458.4</v>
      </c>
      <c r="D17" s="21">
        <v>128811.8</v>
      </c>
      <c r="E17" s="20">
        <v>30600</v>
      </c>
      <c r="F17" s="17">
        <f t="shared" si="1"/>
        <v>23.755587609209712</v>
      </c>
      <c r="G17" s="22">
        <v>367414</v>
      </c>
      <c r="H17" s="22">
        <v>88387</v>
      </c>
    </row>
    <row r="18" spans="1:8" x14ac:dyDescent="0.25">
      <c r="A18" s="19" t="s">
        <v>20</v>
      </c>
      <c r="B18" s="20">
        <f>(361.11/264.18)*1000000</f>
        <v>1366908.9257324552</v>
      </c>
      <c r="C18" s="20">
        <f t="shared" si="2"/>
        <v>801458.4</v>
      </c>
      <c r="D18" s="21">
        <v>129153.67</v>
      </c>
      <c r="E18" s="20">
        <v>30600</v>
      </c>
      <c r="F18" s="17">
        <f t="shared" si="1"/>
        <v>23.692706525490141</v>
      </c>
      <c r="G18" s="22">
        <v>367475</v>
      </c>
      <c r="H18" s="22">
        <v>88456</v>
      </c>
    </row>
    <row r="19" spans="1:8" x14ac:dyDescent="0.25">
      <c r="A19" s="19" t="s">
        <v>21</v>
      </c>
      <c r="B19" s="20">
        <f>(350.84/264.18)*1000000</f>
        <v>1328033.9162692104</v>
      </c>
      <c r="C19" s="20">
        <f t="shared" si="2"/>
        <v>801458.4</v>
      </c>
      <c r="D19" s="21">
        <v>129387.97</v>
      </c>
      <c r="E19" s="20">
        <v>30600</v>
      </c>
      <c r="F19" s="17">
        <f t="shared" si="1"/>
        <v>23.649802991730994</v>
      </c>
      <c r="G19" s="22">
        <v>367499</v>
      </c>
      <c r="H19" s="22">
        <v>88483</v>
      </c>
    </row>
    <row r="20" spans="1:8" x14ac:dyDescent="0.25">
      <c r="A20" s="19" t="s">
        <v>22</v>
      </c>
      <c r="B20" s="20">
        <f>(397.94/264.18)*1000000</f>
        <v>1506321.447497918</v>
      </c>
      <c r="C20" s="20">
        <f t="shared" si="2"/>
        <v>801458.4</v>
      </c>
      <c r="D20" s="21">
        <v>129380.61</v>
      </c>
      <c r="E20" s="20">
        <v>30600</v>
      </c>
      <c r="F20" s="17">
        <f t="shared" si="1"/>
        <v>23.651148344408021</v>
      </c>
      <c r="G20" s="22">
        <v>366916</v>
      </c>
      <c r="H20" s="22">
        <v>88257</v>
      </c>
    </row>
    <row r="21" spans="1:8" ht="3" customHeight="1" x14ac:dyDescent="0.25">
      <c r="A21" s="23"/>
      <c r="B21" s="24"/>
      <c r="C21" s="24"/>
      <c r="D21" s="25"/>
      <c r="E21" s="25"/>
      <c r="F21" s="26"/>
      <c r="G21" s="27"/>
      <c r="H21" s="27"/>
    </row>
    <row r="22" spans="1:8" ht="3" customHeight="1" x14ac:dyDescent="0.25">
      <c r="A22" s="28"/>
      <c r="B22" s="29"/>
      <c r="C22" s="29"/>
      <c r="D22" s="30"/>
      <c r="E22" s="30"/>
      <c r="F22" s="31"/>
      <c r="G22" s="32"/>
      <c r="H22" s="32"/>
    </row>
    <row r="23" spans="1:8" ht="11.25" customHeight="1" x14ac:dyDescent="0.25">
      <c r="A23" s="79" t="s">
        <v>30</v>
      </c>
      <c r="B23" s="79"/>
      <c r="C23" s="79"/>
      <c r="D23" s="79"/>
      <c r="E23" s="79"/>
      <c r="F23" s="79"/>
      <c r="G23" s="79"/>
      <c r="H23" s="79"/>
    </row>
    <row r="24" spans="1:8" ht="11.25" customHeight="1" x14ac:dyDescent="0.25">
      <c r="A24" s="79" t="s">
        <v>23</v>
      </c>
      <c r="B24" s="79"/>
      <c r="C24" s="79"/>
      <c r="D24" s="79"/>
      <c r="E24" s="79"/>
      <c r="F24" s="79"/>
      <c r="G24" s="79"/>
      <c r="H24" s="79"/>
    </row>
    <row r="25" spans="1:8" ht="11.25" customHeight="1" x14ac:dyDescent="0.25">
      <c r="A25" s="79" t="s">
        <v>24</v>
      </c>
      <c r="B25" s="79"/>
      <c r="C25" s="79"/>
      <c r="D25" s="79"/>
      <c r="E25" s="79"/>
      <c r="F25" s="79"/>
      <c r="G25" s="79"/>
      <c r="H25" s="79"/>
    </row>
    <row r="26" spans="1:8" ht="11.25" customHeight="1" x14ac:dyDescent="0.25">
      <c r="A26" s="79" t="s">
        <v>25</v>
      </c>
      <c r="B26" s="79"/>
      <c r="C26" s="79"/>
      <c r="D26" s="79"/>
      <c r="E26" s="79"/>
      <c r="F26" s="79"/>
      <c r="G26" s="79"/>
      <c r="H26" s="79"/>
    </row>
    <row r="27" spans="1:8" ht="11.25" customHeight="1" x14ac:dyDescent="0.25">
      <c r="A27" s="79" t="s">
        <v>26</v>
      </c>
      <c r="B27" s="79">
        <f>( 421.71/264.18)*1000000</f>
        <v>1596297.9786509196</v>
      </c>
      <c r="C27" s="79"/>
      <c r="D27" s="79"/>
      <c r="E27" s="79"/>
      <c r="F27" s="79"/>
      <c r="G27" s="79"/>
      <c r="H27" s="79"/>
    </row>
    <row r="28" spans="1:8" ht="11.25" customHeight="1" x14ac:dyDescent="0.25">
      <c r="A28" s="79" t="s">
        <v>27</v>
      </c>
      <c r="B28" s="79"/>
      <c r="C28" s="79"/>
      <c r="D28" s="79"/>
      <c r="E28" s="79"/>
      <c r="F28" s="79"/>
      <c r="G28" s="79"/>
      <c r="H28" s="79"/>
    </row>
    <row r="29" spans="1:8" ht="11.25" customHeight="1" x14ac:dyDescent="0.25">
      <c r="A29" s="79" t="s">
        <v>28</v>
      </c>
      <c r="B29" s="79"/>
      <c r="C29" s="79"/>
      <c r="D29" s="79"/>
      <c r="E29" s="79"/>
      <c r="F29" s="79"/>
      <c r="G29" s="79"/>
      <c r="H29" s="79"/>
    </row>
    <row r="30" spans="1:8" ht="11.25" customHeight="1" x14ac:dyDescent="0.25">
      <c r="A30" s="79" t="s">
        <v>29</v>
      </c>
      <c r="B30" s="79"/>
      <c r="C30" s="79"/>
      <c r="D30" s="79"/>
      <c r="E30" s="79"/>
      <c r="F30" s="79"/>
      <c r="G30" s="79"/>
      <c r="H30" s="79"/>
    </row>
  </sheetData>
  <mergeCells count="11">
    <mergeCell ref="A1:H1"/>
    <mergeCell ref="A2:H2"/>
    <mergeCell ref="A4:A5"/>
    <mergeCell ref="A24:H24"/>
    <mergeCell ref="A25:H25"/>
    <mergeCell ref="A27:H27"/>
    <mergeCell ref="A28:H28"/>
    <mergeCell ref="A29:H29"/>
    <mergeCell ref="A30:H30"/>
    <mergeCell ref="A23:H23"/>
    <mergeCell ref="A26:H26"/>
  </mergeCells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BA4B05-ADBE-4995-8AC6-32CFB1A95DA2}">
  <dimension ref="A1:I33"/>
  <sheetViews>
    <sheetView workbookViewId="0">
      <selection activeCell="B13" sqref="B13"/>
    </sheetView>
  </sheetViews>
  <sheetFormatPr baseColWidth="10" defaultRowHeight="15" x14ac:dyDescent="0.25"/>
  <cols>
    <col min="1" max="1" width="13.28515625" style="1" customWidth="1"/>
    <col min="2" max="9" width="14" style="1" customWidth="1"/>
    <col min="10" max="16384" width="11.42578125" style="1"/>
  </cols>
  <sheetData>
    <row r="1" spans="1:9" x14ac:dyDescent="0.25">
      <c r="A1" s="86"/>
      <c r="B1" s="86"/>
      <c r="C1" s="86"/>
      <c r="D1" s="86"/>
      <c r="E1" s="86"/>
      <c r="F1" s="86"/>
      <c r="G1" s="86"/>
      <c r="H1" s="86"/>
      <c r="I1" s="86"/>
    </row>
    <row r="2" spans="1:9" x14ac:dyDescent="0.25">
      <c r="A2" s="87" t="s">
        <v>31</v>
      </c>
      <c r="B2" s="87"/>
      <c r="C2" s="87"/>
      <c r="D2" s="87"/>
      <c r="E2" s="87"/>
      <c r="F2" s="87"/>
      <c r="G2" s="87"/>
      <c r="H2" s="87"/>
      <c r="I2" s="87"/>
    </row>
    <row r="3" spans="1:9" x14ac:dyDescent="0.25">
      <c r="A3" s="34"/>
      <c r="B3" s="35"/>
      <c r="C3" s="35"/>
      <c r="D3" s="36"/>
      <c r="E3" s="36"/>
      <c r="F3" s="37"/>
      <c r="G3" s="37"/>
      <c r="H3" s="38"/>
      <c r="I3" s="38"/>
    </row>
    <row r="4" spans="1:9" ht="62.25" customHeight="1" x14ac:dyDescent="0.25">
      <c r="A4" s="88" t="s">
        <v>1</v>
      </c>
      <c r="B4" s="39" t="s">
        <v>2</v>
      </c>
      <c r="C4" s="39" t="s">
        <v>3</v>
      </c>
      <c r="D4" s="39" t="s">
        <v>4</v>
      </c>
      <c r="E4" s="39" t="s">
        <v>5</v>
      </c>
      <c r="F4" s="39" t="s">
        <v>6</v>
      </c>
      <c r="G4" s="39" t="s">
        <v>32</v>
      </c>
      <c r="H4" s="39" t="s">
        <v>7</v>
      </c>
      <c r="I4" s="39" t="s">
        <v>8</v>
      </c>
    </row>
    <row r="5" spans="1:9" x14ac:dyDescent="0.25">
      <c r="A5" s="89"/>
      <c r="B5" s="40" t="s">
        <v>9</v>
      </c>
      <c r="C5" s="40" t="s">
        <v>9</v>
      </c>
      <c r="D5" s="40" t="s">
        <v>9</v>
      </c>
      <c r="E5" s="40" t="s">
        <v>9</v>
      </c>
      <c r="F5" s="40" t="s">
        <v>10</v>
      </c>
      <c r="G5" s="40" t="s">
        <v>10</v>
      </c>
      <c r="H5" s="40"/>
      <c r="I5" s="40"/>
    </row>
    <row r="6" spans="1:9" ht="3" customHeight="1" x14ac:dyDescent="0.25">
      <c r="A6" s="34"/>
      <c r="B6" s="35"/>
      <c r="C6" s="35"/>
      <c r="D6" s="41"/>
      <c r="E6" s="41"/>
      <c r="F6" s="42"/>
      <c r="G6" s="42"/>
      <c r="H6" s="38"/>
      <c r="I6" s="38"/>
    </row>
    <row r="7" spans="1:9" ht="14.25" customHeight="1" x14ac:dyDescent="0.25">
      <c r="A7" s="43" t="s">
        <v>56</v>
      </c>
      <c r="B7" s="44">
        <f t="shared" ref="B7:I7" si="0">AVERAGE(B9:B20)</f>
        <v>1374645.0904686197</v>
      </c>
      <c r="C7" s="44">
        <f t="shared" si="0"/>
        <v>790096.88</v>
      </c>
      <c r="D7" s="44">
        <f t="shared" si="0"/>
        <v>133093.52580000003</v>
      </c>
      <c r="E7" s="44">
        <f t="shared" si="0"/>
        <v>29980</v>
      </c>
      <c r="F7" s="44">
        <f t="shared" si="0"/>
        <v>22.638281205149422</v>
      </c>
      <c r="G7" s="76">
        <f t="shared" si="0"/>
        <v>3.7869678636031527</v>
      </c>
      <c r="H7" s="45">
        <f t="shared" si="0"/>
        <v>364230.41666666669</v>
      </c>
      <c r="I7" s="45">
        <f t="shared" si="0"/>
        <v>91074.416666666672</v>
      </c>
    </row>
    <row r="8" spans="1:9" ht="3" customHeight="1" x14ac:dyDescent="0.25">
      <c r="A8" s="46"/>
      <c r="B8" s="47"/>
      <c r="C8" s="47"/>
      <c r="D8" s="48"/>
      <c r="E8" s="48"/>
      <c r="F8" s="49"/>
      <c r="G8" s="77"/>
      <c r="H8" s="50"/>
      <c r="I8" s="50"/>
    </row>
    <row r="9" spans="1:9" x14ac:dyDescent="0.25">
      <c r="A9" s="51" t="s">
        <v>11</v>
      </c>
      <c r="B9" s="52">
        <f>(401.89987/264.18)*1000000</f>
        <v>1521310.7351048528</v>
      </c>
      <c r="C9" s="52">
        <f t="shared" ref="C9:C16" si="1">(3339410*300*80%/1000)</f>
        <v>801458.4</v>
      </c>
      <c r="D9" s="53">
        <v>129537.54480000002</v>
      </c>
      <c r="E9" s="52">
        <v>30600</v>
      </c>
      <c r="F9" s="49">
        <f>E9/D9*100</f>
        <v>23.62249496641687</v>
      </c>
      <c r="G9" s="78">
        <f>+E9/C9*100</f>
        <v>3.8180397136021034</v>
      </c>
      <c r="H9" s="54">
        <v>367359</v>
      </c>
      <c r="I9" s="54">
        <v>88299</v>
      </c>
    </row>
    <row r="10" spans="1:9" x14ac:dyDescent="0.25">
      <c r="A10" s="51" t="s">
        <v>12</v>
      </c>
      <c r="B10" s="52">
        <f>(384.97671/264.18)*1000000</f>
        <v>1457251.5330456507</v>
      </c>
      <c r="C10" s="52">
        <f t="shared" si="1"/>
        <v>801458.4</v>
      </c>
      <c r="D10" s="53">
        <v>129953.1</v>
      </c>
      <c r="E10" s="52">
        <v>30600</v>
      </c>
      <c r="F10" s="49">
        <f>E10/D10*100</f>
        <v>23.546956555865155</v>
      </c>
      <c r="G10" s="78">
        <f t="shared" ref="G10:G20" si="2">+E10/C10*100</f>
        <v>3.8180397136021034</v>
      </c>
      <c r="H10" s="54">
        <v>368025</v>
      </c>
      <c r="I10" s="54">
        <v>88518</v>
      </c>
    </row>
    <row r="11" spans="1:9" x14ac:dyDescent="0.25">
      <c r="A11" s="51" t="s">
        <v>13</v>
      </c>
      <c r="B11" s="52">
        <f>(363.78506/264.18)*1000000</f>
        <v>1377034.8247407069</v>
      </c>
      <c r="C11" s="52">
        <f t="shared" si="1"/>
        <v>801458.4</v>
      </c>
      <c r="D11" s="53">
        <v>130243.3992</v>
      </c>
      <c r="E11" s="52">
        <v>33056</v>
      </c>
      <c r="F11" s="49">
        <f t="shared" ref="F11:F20" si="3">E11/D11*100</f>
        <v>25.380172970792675</v>
      </c>
      <c r="G11" s="78">
        <f t="shared" si="2"/>
        <v>4.124481071007553</v>
      </c>
      <c r="H11" s="54">
        <v>368586</v>
      </c>
      <c r="I11" s="54">
        <v>88528</v>
      </c>
    </row>
    <row r="12" spans="1:9" x14ac:dyDescent="0.25">
      <c r="A12" s="51" t="s">
        <v>14</v>
      </c>
      <c r="B12" s="52">
        <f>(365.78047/264.18)*1000000</f>
        <v>1384588.0460292224</v>
      </c>
      <c r="C12" s="52">
        <f t="shared" si="1"/>
        <v>801458.4</v>
      </c>
      <c r="D12" s="53">
        <v>130336.236</v>
      </c>
      <c r="E12" s="52">
        <v>33056</v>
      </c>
      <c r="F12" s="49">
        <f t="shared" si="3"/>
        <v>25.362095004799741</v>
      </c>
      <c r="G12" s="78">
        <f t="shared" si="2"/>
        <v>4.124481071007553</v>
      </c>
      <c r="H12" s="54">
        <v>368337</v>
      </c>
      <c r="I12" s="54">
        <v>88522</v>
      </c>
    </row>
    <row r="13" spans="1:9" x14ac:dyDescent="0.25">
      <c r="A13" s="51" t="s">
        <v>15</v>
      </c>
      <c r="B13" s="52">
        <f>(357.13558/264.18)*1000000</f>
        <v>1351864.5620410326</v>
      </c>
      <c r="C13" s="52">
        <f t="shared" si="1"/>
        <v>801458.4</v>
      </c>
      <c r="D13" s="53">
        <v>130367.18160000001</v>
      </c>
      <c r="E13" s="52">
        <v>33056</v>
      </c>
      <c r="F13" s="49">
        <f t="shared" si="3"/>
        <v>25.356074737754398</v>
      </c>
      <c r="G13" s="78">
        <f t="shared" si="2"/>
        <v>4.124481071007553</v>
      </c>
      <c r="H13" s="54">
        <v>368513</v>
      </c>
      <c r="I13" s="54">
        <v>88503</v>
      </c>
    </row>
    <row r="14" spans="1:9" x14ac:dyDescent="0.25">
      <c r="A14" s="51" t="s">
        <v>16</v>
      </c>
      <c r="B14" s="52">
        <f>(356.46907/264.18)*1000000</f>
        <v>1349341.6231357406</v>
      </c>
      <c r="C14" s="52">
        <f t="shared" si="1"/>
        <v>801458.4</v>
      </c>
      <c r="D14" s="53">
        <v>130447.49280000001</v>
      </c>
      <c r="E14" s="52">
        <v>33056</v>
      </c>
      <c r="F14" s="49">
        <f t="shared" si="3"/>
        <v>25.340464036883354</v>
      </c>
      <c r="G14" s="78">
        <f t="shared" si="2"/>
        <v>4.124481071007553</v>
      </c>
      <c r="H14" s="54">
        <v>368013</v>
      </c>
      <c r="I14" s="54">
        <v>88502</v>
      </c>
    </row>
    <row r="15" spans="1:9" x14ac:dyDescent="0.25">
      <c r="A15" s="51" t="s">
        <v>17</v>
      </c>
      <c r="B15" s="52">
        <f>(352.67881/264.18)*1000000</f>
        <v>1334994.3599061244</v>
      </c>
      <c r="C15" s="52">
        <f t="shared" si="1"/>
        <v>801458.4</v>
      </c>
      <c r="D15" s="52">
        <v>130661.90160000001</v>
      </c>
      <c r="E15" s="52">
        <v>33056</v>
      </c>
      <c r="F15" s="49">
        <f t="shared" si="3"/>
        <v>25.29888176677202</v>
      </c>
      <c r="G15" s="78">
        <f t="shared" si="2"/>
        <v>4.124481071007553</v>
      </c>
      <c r="H15" s="54">
        <v>368116</v>
      </c>
      <c r="I15" s="54">
        <v>88525</v>
      </c>
    </row>
    <row r="16" spans="1:9" x14ac:dyDescent="0.25">
      <c r="A16" s="51" t="s">
        <v>18</v>
      </c>
      <c r="B16" s="52">
        <f>(361.32297/264.18)*1000000</f>
        <v>1367715.0806268451</v>
      </c>
      <c r="C16" s="52">
        <f t="shared" si="1"/>
        <v>801458.4</v>
      </c>
      <c r="D16" s="52">
        <v>130972.8312</v>
      </c>
      <c r="E16" s="52">
        <v>33056</v>
      </c>
      <c r="F16" s="49">
        <f>E16/D16*100</f>
        <v>25.238822202386658</v>
      </c>
      <c r="G16" s="78">
        <f t="shared" si="2"/>
        <v>4.124481071007553</v>
      </c>
      <c r="H16" s="54">
        <v>368167</v>
      </c>
      <c r="I16" s="54">
        <v>88524</v>
      </c>
    </row>
    <row r="17" spans="1:9" x14ac:dyDescent="0.25">
      <c r="A17" s="51" t="s">
        <v>19</v>
      </c>
      <c r="B17" s="52">
        <f>(368.92463/264.18)*1000000</f>
        <v>1396489.6282837458</v>
      </c>
      <c r="C17" s="52">
        <f>((3197391)*300*80%/1000)</f>
        <v>767373.84</v>
      </c>
      <c r="D17" s="52">
        <v>130365.708</v>
      </c>
      <c r="E17" s="52">
        <v>25056</v>
      </c>
      <c r="F17" s="49">
        <f t="shared" si="3"/>
        <v>19.219778256410805</v>
      </c>
      <c r="G17" s="78">
        <f t="shared" si="2"/>
        <v>3.2651621274970752</v>
      </c>
      <c r="H17" s="54">
        <v>355988</v>
      </c>
      <c r="I17" s="54">
        <v>87791</v>
      </c>
    </row>
    <row r="18" spans="1:9" x14ac:dyDescent="0.25">
      <c r="A18" s="51" t="s">
        <v>20</v>
      </c>
      <c r="B18" s="52">
        <f>(355.60381/264.18)*1000000</f>
        <v>1346066.3562722385</v>
      </c>
      <c r="C18" s="52">
        <f>((3197391)*300*80%/1000)</f>
        <v>767373.84</v>
      </c>
      <c r="D18" s="52">
        <v>131616.79439999998</v>
      </c>
      <c r="E18" s="52">
        <v>25056</v>
      </c>
      <c r="F18" s="49">
        <f t="shared" si="3"/>
        <v>19.037084221829371</v>
      </c>
      <c r="G18" s="78">
        <f t="shared" si="2"/>
        <v>3.2651621274970752</v>
      </c>
      <c r="H18" s="54">
        <v>356196</v>
      </c>
      <c r="I18" s="54">
        <v>88010</v>
      </c>
    </row>
    <row r="19" spans="1:9" x14ac:dyDescent="0.25">
      <c r="A19" s="51" t="s">
        <v>21</v>
      </c>
      <c r="B19" s="52">
        <f>(344.75813/264.18)*1000000</f>
        <v>1305012.2265122263</v>
      </c>
      <c r="C19" s="52">
        <v>767373.84</v>
      </c>
      <c r="D19" s="52">
        <v>144373.74959999998</v>
      </c>
      <c r="E19" s="52">
        <v>25056</v>
      </c>
      <c r="F19" s="49">
        <f t="shared" si="3"/>
        <v>17.35495550224319</v>
      </c>
      <c r="G19" s="78">
        <f t="shared" si="2"/>
        <v>3.2651621274970752</v>
      </c>
      <c r="H19" s="54">
        <v>356600</v>
      </c>
      <c r="I19" s="54">
        <v>103319</v>
      </c>
    </row>
    <row r="20" spans="1:9" x14ac:dyDescent="0.25">
      <c r="A20" s="51" t="s">
        <v>22</v>
      </c>
      <c r="B20" s="52">
        <f>(344.50977/264.18)*1000000</f>
        <v>1304072.1099250512</v>
      </c>
      <c r="C20" s="52">
        <v>767373.84</v>
      </c>
      <c r="D20" s="52">
        <v>148246.37040000001</v>
      </c>
      <c r="E20" s="52">
        <v>25056</v>
      </c>
      <c r="F20" s="49">
        <f t="shared" si="3"/>
        <v>16.901594239638797</v>
      </c>
      <c r="G20" s="78">
        <f t="shared" si="2"/>
        <v>3.2651621274970752</v>
      </c>
      <c r="H20" s="54">
        <v>356865</v>
      </c>
      <c r="I20" s="54">
        <v>105852</v>
      </c>
    </row>
    <row r="21" spans="1:9" ht="3" customHeight="1" x14ac:dyDescent="0.25">
      <c r="A21" s="55"/>
      <c r="B21" s="56"/>
      <c r="C21" s="56"/>
      <c r="D21" s="57"/>
      <c r="E21" s="57"/>
      <c r="F21" s="58"/>
      <c r="G21" s="58"/>
      <c r="H21" s="59"/>
      <c r="I21" s="59"/>
    </row>
    <row r="22" spans="1:9" ht="3" customHeight="1" x14ac:dyDescent="0.25">
      <c r="A22" s="60"/>
      <c r="B22" s="61"/>
      <c r="C22" s="61"/>
      <c r="D22" s="62"/>
      <c r="E22" s="62"/>
      <c r="F22" s="63"/>
      <c r="G22" s="63"/>
      <c r="H22" s="64"/>
      <c r="I22" s="64"/>
    </row>
    <row r="23" spans="1:9" ht="10.5" customHeight="1" x14ac:dyDescent="0.25">
      <c r="A23" s="85" t="s">
        <v>67</v>
      </c>
      <c r="B23" s="85"/>
      <c r="C23" s="85"/>
      <c r="D23" s="85"/>
      <c r="E23" s="85"/>
      <c r="F23" s="85"/>
      <c r="G23" s="85"/>
      <c r="H23" s="85"/>
      <c r="I23" s="85"/>
    </row>
    <row r="24" spans="1:9" ht="10.5" customHeight="1" x14ac:dyDescent="0.25">
      <c r="A24" s="85" t="s">
        <v>23</v>
      </c>
      <c r="B24" s="85"/>
      <c r="C24" s="85"/>
      <c r="D24" s="85"/>
      <c r="E24" s="85"/>
      <c r="F24" s="85"/>
      <c r="G24" s="85"/>
      <c r="H24" s="85"/>
      <c r="I24" s="85"/>
    </row>
    <row r="25" spans="1:9" ht="10.5" customHeight="1" x14ac:dyDescent="0.25">
      <c r="A25" s="85" t="s">
        <v>24</v>
      </c>
      <c r="B25" s="85"/>
      <c r="C25" s="85"/>
      <c r="D25" s="85"/>
      <c r="E25" s="85"/>
      <c r="F25" s="85"/>
      <c r="G25" s="85"/>
      <c r="H25" s="85"/>
      <c r="I25" s="85"/>
    </row>
    <row r="26" spans="1:9" ht="10.5" customHeight="1" x14ac:dyDescent="0.25">
      <c r="A26" s="85" t="s">
        <v>25</v>
      </c>
      <c r="B26" s="85"/>
      <c r="C26" s="85"/>
      <c r="D26" s="85"/>
      <c r="E26" s="85"/>
      <c r="F26" s="85"/>
      <c r="G26" s="85"/>
      <c r="H26" s="85"/>
      <c r="I26" s="85"/>
    </row>
    <row r="27" spans="1:9" ht="10.5" customHeight="1" x14ac:dyDescent="0.25">
      <c r="A27" s="85" t="s">
        <v>26</v>
      </c>
      <c r="B27" s="85">
        <f>( 421.71/264.18)*1000000</f>
        <v>1596297.9786509196</v>
      </c>
      <c r="C27" s="85"/>
      <c r="D27" s="85"/>
      <c r="E27" s="85"/>
      <c r="F27" s="85"/>
      <c r="G27" s="85"/>
      <c r="H27" s="85"/>
      <c r="I27" s="85"/>
    </row>
    <row r="28" spans="1:9" ht="10.5" customHeight="1" x14ac:dyDescent="0.25">
      <c r="A28" s="85" t="s">
        <v>34</v>
      </c>
      <c r="B28" s="85"/>
      <c r="C28" s="85"/>
      <c r="D28" s="85"/>
      <c r="E28" s="85"/>
      <c r="F28" s="85"/>
      <c r="G28" s="85"/>
      <c r="H28" s="85"/>
      <c r="I28" s="85"/>
    </row>
    <row r="29" spans="1:9" ht="10.5" customHeight="1" x14ac:dyDescent="0.25">
      <c r="A29" s="85" t="s">
        <v>28</v>
      </c>
      <c r="B29" s="85"/>
      <c r="C29" s="85"/>
      <c r="D29" s="85"/>
      <c r="E29" s="85"/>
      <c r="F29" s="85"/>
      <c r="G29" s="85"/>
      <c r="H29" s="85"/>
      <c r="I29" s="85"/>
    </row>
    <row r="30" spans="1:9" ht="10.5" customHeight="1" x14ac:dyDescent="0.25">
      <c r="A30" s="85" t="s">
        <v>35</v>
      </c>
      <c r="B30" s="85">
        <f>( 421.71/264.18)*1000000</f>
        <v>1596297.9786509196</v>
      </c>
      <c r="C30" s="85"/>
      <c r="D30" s="85"/>
      <c r="E30" s="85"/>
      <c r="F30" s="85"/>
      <c r="G30" s="85"/>
      <c r="H30" s="85"/>
      <c r="I30" s="85"/>
    </row>
    <row r="31" spans="1:9" ht="10.5" customHeight="1" x14ac:dyDescent="0.25">
      <c r="A31" s="85" t="s">
        <v>29</v>
      </c>
      <c r="B31" s="85"/>
      <c r="C31" s="85"/>
      <c r="D31" s="85"/>
      <c r="E31" s="85"/>
      <c r="F31" s="85"/>
      <c r="G31" s="85"/>
      <c r="H31" s="85"/>
      <c r="I31" s="85"/>
    </row>
    <row r="32" spans="1:9" ht="15" customHeight="1" x14ac:dyDescent="0.25">
      <c r="A32" s="85" t="s">
        <v>33</v>
      </c>
      <c r="B32" s="85"/>
      <c r="C32" s="85"/>
      <c r="D32" s="85"/>
      <c r="E32" s="85"/>
      <c r="F32" s="85"/>
      <c r="G32" s="85"/>
      <c r="H32" s="85"/>
      <c r="I32" s="85"/>
    </row>
    <row r="33" spans="1:9" x14ac:dyDescent="0.25">
      <c r="A33" s="84"/>
      <c r="B33" s="84"/>
      <c r="C33" s="84"/>
      <c r="D33" s="84"/>
      <c r="E33" s="84"/>
      <c r="F33" s="84"/>
      <c r="G33" s="84"/>
      <c r="H33" s="84"/>
      <c r="I33" s="84"/>
    </row>
  </sheetData>
  <mergeCells count="14">
    <mergeCell ref="A1:I1"/>
    <mergeCell ref="A2:I2"/>
    <mergeCell ref="A4:A5"/>
    <mergeCell ref="A24:I24"/>
    <mergeCell ref="A25:I25"/>
    <mergeCell ref="A33:I33"/>
    <mergeCell ref="A23:I23"/>
    <mergeCell ref="A27:I27"/>
    <mergeCell ref="A28:I28"/>
    <mergeCell ref="A29:I29"/>
    <mergeCell ref="A30:I30"/>
    <mergeCell ref="A31:I31"/>
    <mergeCell ref="A32:I32"/>
    <mergeCell ref="A26:I2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FC0E3A-9D2D-4769-B4E7-1364C1740F16}">
  <dimension ref="A1:I31"/>
  <sheetViews>
    <sheetView workbookViewId="0">
      <selection activeCell="A7" sqref="A7"/>
    </sheetView>
  </sheetViews>
  <sheetFormatPr baseColWidth="10" defaultRowHeight="15" x14ac:dyDescent="0.25"/>
  <cols>
    <col min="1" max="1" width="13.7109375" style="1" customWidth="1"/>
    <col min="2" max="8" width="17.140625" style="1" customWidth="1"/>
    <col min="9" max="16384" width="11.42578125" style="1"/>
  </cols>
  <sheetData>
    <row r="1" spans="1:9" s="6" customFormat="1" ht="14.25" customHeight="1" x14ac:dyDescent="0.25">
      <c r="A1" s="80"/>
      <c r="B1" s="80"/>
      <c r="C1" s="80"/>
      <c r="D1" s="80"/>
      <c r="E1" s="80"/>
      <c r="F1" s="80"/>
      <c r="G1" s="80"/>
      <c r="H1" s="80"/>
    </row>
    <row r="2" spans="1:9" s="6" customFormat="1" ht="12.75" x14ac:dyDescent="0.25">
      <c r="A2" s="81" t="s">
        <v>36</v>
      </c>
      <c r="B2" s="81"/>
      <c r="C2" s="81"/>
      <c r="D2" s="81"/>
      <c r="E2" s="81"/>
      <c r="F2" s="81"/>
      <c r="G2" s="81"/>
      <c r="H2" s="81"/>
    </row>
    <row r="3" spans="1:9" s="6" customFormat="1" ht="14.25" customHeight="1" x14ac:dyDescent="0.2">
      <c r="A3" s="2"/>
      <c r="B3" s="3"/>
      <c r="C3" s="3"/>
      <c r="D3" s="4"/>
      <c r="E3" s="4"/>
      <c r="F3" s="5"/>
    </row>
    <row r="4" spans="1:9" s="65" customFormat="1" ht="67.5" customHeight="1" x14ac:dyDescent="0.25">
      <c r="A4" s="82" t="s">
        <v>1</v>
      </c>
      <c r="B4" s="7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7" t="s">
        <v>8</v>
      </c>
    </row>
    <row r="5" spans="1:9" s="6" customFormat="1" x14ac:dyDescent="0.2">
      <c r="A5" s="83"/>
      <c r="B5" s="8" t="s">
        <v>9</v>
      </c>
      <c r="C5" s="8" t="s">
        <v>9</v>
      </c>
      <c r="D5" s="8" t="s">
        <v>9</v>
      </c>
      <c r="E5" s="8" t="s">
        <v>9</v>
      </c>
      <c r="F5" s="8" t="s">
        <v>10</v>
      </c>
      <c r="G5" s="8"/>
      <c r="H5" s="8"/>
    </row>
    <row r="6" spans="1:9" s="6" customFormat="1" ht="4.5" customHeight="1" x14ac:dyDescent="0.25">
      <c r="A6" s="2"/>
      <c r="B6" s="3"/>
      <c r="C6" s="3"/>
      <c r="D6" s="9"/>
      <c r="E6" s="9"/>
      <c r="F6" s="10"/>
      <c r="I6" s="66"/>
    </row>
    <row r="7" spans="1:9" s="6" customFormat="1" ht="12" customHeight="1" x14ac:dyDescent="0.2">
      <c r="A7" s="11" t="s">
        <v>56</v>
      </c>
      <c r="B7" s="12">
        <f>AVERAGE(B9:B20)</f>
        <v>1300367.8047795694</v>
      </c>
      <c r="C7" s="12">
        <f t="shared" ref="C7:H7" si="0">AVERAGE(C9:C20)</f>
        <v>767373.84</v>
      </c>
      <c r="D7" s="12">
        <f>AVERAGE(D9:D20)</f>
        <v>152779.3966666667</v>
      </c>
      <c r="E7" s="12">
        <f t="shared" si="0"/>
        <v>25056</v>
      </c>
      <c r="F7" s="12">
        <f t="shared" si="0"/>
        <v>16.405090237815696</v>
      </c>
      <c r="G7" s="13">
        <f t="shared" si="0"/>
        <v>356722.5</v>
      </c>
      <c r="H7" s="13">
        <f t="shared" si="0"/>
        <v>106781.16666666667</v>
      </c>
    </row>
    <row r="8" spans="1:9" s="6" customFormat="1" ht="4.5" customHeight="1" x14ac:dyDescent="0.2">
      <c r="A8" s="14"/>
      <c r="B8" s="15"/>
      <c r="C8" s="15"/>
      <c r="D8" s="16"/>
      <c r="E8" s="16"/>
      <c r="F8" s="17"/>
      <c r="G8" s="18"/>
      <c r="H8" s="18"/>
    </row>
    <row r="9" spans="1:9" s="6" customFormat="1" ht="13.5" customHeight="1" x14ac:dyDescent="0.2">
      <c r="A9" s="19" t="s">
        <v>11</v>
      </c>
      <c r="B9" s="20">
        <f>(343.57/264.18)*1000000</f>
        <v>1300514.8005148005</v>
      </c>
      <c r="C9" s="20">
        <f>(3197391*300*80%/1000)</f>
        <v>767373.84</v>
      </c>
      <c r="D9" s="21">
        <v>149193.48000000001</v>
      </c>
      <c r="E9" s="20">
        <v>25056</v>
      </c>
      <c r="F9" s="17">
        <f t="shared" ref="F9:F20" si="1">E9/D9*100</f>
        <v>16.794299590035703</v>
      </c>
      <c r="G9" s="22">
        <v>356965</v>
      </c>
      <c r="H9" s="22">
        <v>105932</v>
      </c>
      <c r="I9" s="67"/>
    </row>
    <row r="10" spans="1:9" s="6" customFormat="1" ht="13.5" customHeight="1" x14ac:dyDescent="0.2">
      <c r="A10" s="19" t="s">
        <v>12</v>
      </c>
      <c r="B10" s="20">
        <f>(353.88/264.18)*1000000</f>
        <v>1339541.2218941629</v>
      </c>
      <c r="C10" s="20">
        <f>(3197391*300*80%/1000)</f>
        <v>767373.84</v>
      </c>
      <c r="D10" s="21">
        <v>149356.84</v>
      </c>
      <c r="E10" s="20">
        <v>25056</v>
      </c>
      <c r="F10" s="17">
        <f t="shared" si="1"/>
        <v>16.775930717334404</v>
      </c>
      <c r="G10" s="22">
        <v>356921</v>
      </c>
      <c r="H10" s="22">
        <v>106240</v>
      </c>
      <c r="I10" s="67"/>
    </row>
    <row r="11" spans="1:9" s="6" customFormat="1" ht="13.5" customHeight="1" x14ac:dyDescent="0.2">
      <c r="A11" s="19" t="s">
        <v>13</v>
      </c>
      <c r="B11" s="20">
        <f>(337.73/264.18)*1000000</f>
        <v>1278408.6607616018</v>
      </c>
      <c r="C11" s="20">
        <f>(3197391*300*80%/1000)</f>
        <v>767373.84</v>
      </c>
      <c r="D11" s="21">
        <v>150236.49</v>
      </c>
      <c r="E11" s="20">
        <v>25056</v>
      </c>
      <c r="F11" s="17">
        <f t="shared" si="1"/>
        <v>16.677705928832605</v>
      </c>
      <c r="G11" s="22">
        <v>356895</v>
      </c>
      <c r="H11" s="22">
        <v>105920</v>
      </c>
      <c r="I11" s="67"/>
    </row>
    <row r="12" spans="1:9" s="6" customFormat="1" ht="13.5" customHeight="1" x14ac:dyDescent="0.2">
      <c r="A12" s="19" t="s">
        <v>14</v>
      </c>
      <c r="B12" s="20">
        <f>(321.008/264.18)*1000000</f>
        <v>1215110.9092285561</v>
      </c>
      <c r="C12" s="20">
        <f>(3197391*300*80%/1000)</f>
        <v>767373.84</v>
      </c>
      <c r="D12" s="21">
        <v>150424.98000000001</v>
      </c>
      <c r="E12" s="20">
        <v>25056</v>
      </c>
      <c r="F12" s="17">
        <f t="shared" si="1"/>
        <v>16.656807931767716</v>
      </c>
      <c r="G12" s="22">
        <v>356767</v>
      </c>
      <c r="H12" s="22">
        <v>105787</v>
      </c>
      <c r="I12" s="67"/>
    </row>
    <row r="13" spans="1:9" s="6" customFormat="1" ht="13.5" customHeight="1" x14ac:dyDescent="0.2">
      <c r="A13" s="19" t="s">
        <v>15</v>
      </c>
      <c r="B13" s="20">
        <f>(337.413/264.18)*1000000</f>
        <v>1277208.7213263684</v>
      </c>
      <c r="C13" s="20">
        <f t="shared" ref="C13:C20" si="2">(3197391*300*80%/1000)</f>
        <v>767373.84</v>
      </c>
      <c r="D13" s="21">
        <v>151034.82</v>
      </c>
      <c r="E13" s="20">
        <v>25056</v>
      </c>
      <c r="F13" s="17">
        <f t="shared" si="1"/>
        <v>16.589551998671563</v>
      </c>
      <c r="G13" s="22">
        <v>356669</v>
      </c>
      <c r="H13" s="22">
        <v>105938</v>
      </c>
      <c r="I13" s="67"/>
    </row>
    <row r="14" spans="1:9" s="6" customFormat="1" ht="13.5" customHeight="1" x14ac:dyDescent="0.2">
      <c r="A14" s="19" t="s">
        <v>16</v>
      </c>
      <c r="B14" s="20">
        <f>(314.35/264.18)*1000000</f>
        <v>1189908.3957907488</v>
      </c>
      <c r="C14" s="20">
        <f t="shared" si="2"/>
        <v>767373.84</v>
      </c>
      <c r="D14" s="21">
        <v>152863.6</v>
      </c>
      <c r="E14" s="20">
        <v>25056</v>
      </c>
      <c r="F14" s="17">
        <f t="shared" si="1"/>
        <v>16.391083292556239</v>
      </c>
      <c r="G14" s="22">
        <v>356365</v>
      </c>
      <c r="H14" s="22">
        <v>106467</v>
      </c>
      <c r="I14" s="67"/>
    </row>
    <row r="15" spans="1:9" s="6" customFormat="1" ht="13.5" customHeight="1" x14ac:dyDescent="0.2">
      <c r="A15" s="19" t="s">
        <v>17</v>
      </c>
      <c r="B15" s="20">
        <f>(304.966/264.18)*1000000</f>
        <v>1154387.1602695133</v>
      </c>
      <c r="C15" s="20">
        <f t="shared" si="2"/>
        <v>767373.84</v>
      </c>
      <c r="D15" s="21">
        <v>153284.21</v>
      </c>
      <c r="E15" s="20">
        <v>25056</v>
      </c>
      <c r="F15" s="17">
        <f t="shared" si="1"/>
        <v>16.34610636020501</v>
      </c>
      <c r="G15" s="22">
        <v>356201</v>
      </c>
      <c r="H15" s="22">
        <v>106523</v>
      </c>
      <c r="I15" s="67"/>
    </row>
    <row r="16" spans="1:9" s="6" customFormat="1" ht="13.5" customHeight="1" x14ac:dyDescent="0.2">
      <c r="A16" s="19" t="s">
        <v>18</v>
      </c>
      <c r="B16" s="20">
        <f>(326.686/264.18)*1000000</f>
        <v>1236603.8307214777</v>
      </c>
      <c r="C16" s="20">
        <f t="shared" si="2"/>
        <v>767373.84</v>
      </c>
      <c r="D16" s="21">
        <v>153349.26</v>
      </c>
      <c r="E16" s="20">
        <v>25056</v>
      </c>
      <c r="F16" s="17">
        <f t="shared" si="1"/>
        <v>16.339172422481855</v>
      </c>
      <c r="G16" s="22">
        <v>356288</v>
      </c>
      <c r="H16" s="22">
        <v>107082</v>
      </c>
      <c r="I16" s="67"/>
    </row>
    <row r="17" spans="1:9" s="6" customFormat="1" ht="13.5" customHeight="1" x14ac:dyDescent="0.2">
      <c r="A17" s="19" t="s">
        <v>19</v>
      </c>
      <c r="B17" s="20">
        <f>(353.887/264.18)*1000000</f>
        <v>1339567.7189794837</v>
      </c>
      <c r="C17" s="20">
        <f t="shared" si="2"/>
        <v>767373.84</v>
      </c>
      <c r="D17" s="21">
        <v>154163.12</v>
      </c>
      <c r="E17" s="20">
        <v>25056</v>
      </c>
      <c r="F17" s="17">
        <f t="shared" si="1"/>
        <v>16.252914445426377</v>
      </c>
      <c r="G17" s="22">
        <v>356535</v>
      </c>
      <c r="H17" s="22">
        <v>107369</v>
      </c>
      <c r="I17" s="67"/>
    </row>
    <row r="18" spans="1:9" s="6" customFormat="1" ht="13.5" customHeight="1" x14ac:dyDescent="0.2">
      <c r="A18" s="19" t="s">
        <v>20</v>
      </c>
      <c r="B18" s="20">
        <f>(358.324/264.18)*1000000</f>
        <v>1356363.0857748506</v>
      </c>
      <c r="C18" s="20">
        <f t="shared" si="2"/>
        <v>767373.84</v>
      </c>
      <c r="D18" s="20">
        <v>155403.49</v>
      </c>
      <c r="E18" s="20">
        <v>25056</v>
      </c>
      <c r="F18" s="17">
        <f t="shared" si="1"/>
        <v>16.12319002616994</v>
      </c>
      <c r="G18" s="22">
        <v>356714</v>
      </c>
      <c r="H18" s="22">
        <v>107485</v>
      </c>
      <c r="I18" s="67"/>
    </row>
    <row r="19" spans="1:9" s="6" customFormat="1" ht="13.5" customHeight="1" x14ac:dyDescent="0.2">
      <c r="A19" s="19" t="s">
        <v>21</v>
      </c>
      <c r="B19" s="20">
        <f>(390.431/264.18)*1000000</f>
        <v>1477897.6455447043</v>
      </c>
      <c r="C19" s="20">
        <f t="shared" si="2"/>
        <v>767373.84</v>
      </c>
      <c r="D19" s="20">
        <v>156663.82999999999</v>
      </c>
      <c r="E19" s="20">
        <v>25056</v>
      </c>
      <c r="F19" s="17">
        <f t="shared" si="1"/>
        <v>15.993481073455182</v>
      </c>
      <c r="G19" s="22">
        <v>356979</v>
      </c>
      <c r="H19" s="22">
        <v>108022</v>
      </c>
      <c r="I19" s="67"/>
    </row>
    <row r="20" spans="1:9" s="6" customFormat="1" ht="13.5" customHeight="1" x14ac:dyDescent="0.2">
      <c r="A20" s="19" t="s">
        <v>22</v>
      </c>
      <c r="B20" s="20">
        <f>(380.129/264.18)*1000000</f>
        <v>1438901.5065485653</v>
      </c>
      <c r="C20" s="20">
        <f t="shared" si="2"/>
        <v>767373.84</v>
      </c>
      <c r="D20" s="20">
        <v>157378.64000000001</v>
      </c>
      <c r="E20" s="20">
        <v>25056</v>
      </c>
      <c r="F20" s="17">
        <f t="shared" si="1"/>
        <v>15.920839066851764</v>
      </c>
      <c r="G20" s="22">
        <v>357371</v>
      </c>
      <c r="H20" s="22">
        <v>108609</v>
      </c>
      <c r="I20" s="67"/>
    </row>
    <row r="21" spans="1:9" s="32" customFormat="1" ht="4.5" customHeight="1" x14ac:dyDescent="0.2">
      <c r="A21" s="23"/>
      <c r="B21" s="24"/>
      <c r="C21" s="24"/>
      <c r="D21" s="25"/>
      <c r="E21" s="25"/>
      <c r="F21" s="26"/>
      <c r="G21" s="27"/>
      <c r="H21" s="27"/>
    </row>
    <row r="22" spans="1:9" s="32" customFormat="1" ht="4.5" customHeight="1" x14ac:dyDescent="0.2">
      <c r="A22" s="28"/>
      <c r="B22" s="29"/>
      <c r="C22" s="29"/>
      <c r="D22" s="30"/>
      <c r="E22" s="30"/>
      <c r="F22" s="31"/>
    </row>
    <row r="23" spans="1:9" s="32" customFormat="1" ht="11.25" customHeight="1" x14ac:dyDescent="0.2">
      <c r="A23" s="90" t="s">
        <v>37</v>
      </c>
      <c r="B23" s="90"/>
      <c r="C23" s="90"/>
      <c r="D23" s="90"/>
      <c r="E23" s="90"/>
      <c r="F23" s="90"/>
      <c r="G23" s="90"/>
      <c r="H23" s="90"/>
    </row>
    <row r="24" spans="1:9" s="68" customFormat="1" ht="11.25" customHeight="1" x14ac:dyDescent="0.15">
      <c r="A24" s="90" t="s">
        <v>23</v>
      </c>
      <c r="B24" s="90"/>
      <c r="C24" s="90"/>
      <c r="D24" s="90"/>
      <c r="E24" s="90"/>
      <c r="F24" s="90"/>
      <c r="G24" s="90"/>
      <c r="H24" s="90"/>
    </row>
    <row r="25" spans="1:9" s="68" customFormat="1" ht="11.25" customHeight="1" x14ac:dyDescent="0.15">
      <c r="A25" s="90" t="s">
        <v>24</v>
      </c>
      <c r="B25" s="90"/>
      <c r="C25" s="90"/>
      <c r="D25" s="90"/>
      <c r="E25" s="90"/>
      <c r="F25" s="90"/>
      <c r="G25" s="90"/>
      <c r="H25" s="90"/>
    </row>
    <row r="26" spans="1:9" s="68" customFormat="1" ht="11.25" customHeight="1" x14ac:dyDescent="0.15">
      <c r="A26" s="90" t="s">
        <v>25</v>
      </c>
      <c r="B26" s="90"/>
      <c r="C26" s="90"/>
      <c r="D26" s="90"/>
      <c r="E26" s="90"/>
      <c r="F26" s="90"/>
      <c r="G26" s="90"/>
      <c r="H26" s="90"/>
    </row>
    <row r="27" spans="1:9" s="68" customFormat="1" ht="11.25" customHeight="1" x14ac:dyDescent="0.15">
      <c r="A27" s="90" t="s">
        <v>26</v>
      </c>
      <c r="B27" s="90">
        <f>( 421.71/264.18)*1000000</f>
        <v>1596297.9786509196</v>
      </c>
      <c r="C27" s="90"/>
      <c r="D27" s="90"/>
      <c r="E27" s="90"/>
      <c r="F27" s="90"/>
      <c r="G27" s="90"/>
      <c r="H27" s="90"/>
    </row>
    <row r="28" spans="1:9" s="68" customFormat="1" ht="11.25" customHeight="1" x14ac:dyDescent="0.15">
      <c r="A28" s="90" t="s">
        <v>27</v>
      </c>
      <c r="B28" s="90"/>
      <c r="C28" s="90"/>
      <c r="D28" s="90"/>
      <c r="E28" s="90"/>
      <c r="F28" s="90"/>
      <c r="G28" s="90"/>
      <c r="H28" s="90"/>
    </row>
    <row r="29" spans="1:9" s="68" customFormat="1" ht="11.25" customHeight="1" x14ac:dyDescent="0.15">
      <c r="A29" s="90" t="s">
        <v>28</v>
      </c>
      <c r="B29" s="90"/>
      <c r="C29" s="90"/>
      <c r="D29" s="90"/>
      <c r="E29" s="90"/>
      <c r="F29" s="90"/>
      <c r="G29" s="90"/>
      <c r="H29" s="90"/>
    </row>
    <row r="30" spans="1:9" s="68" customFormat="1" ht="11.25" customHeight="1" x14ac:dyDescent="0.15">
      <c r="A30" s="90" t="s">
        <v>29</v>
      </c>
      <c r="B30" s="90"/>
      <c r="C30" s="90"/>
      <c r="D30" s="90"/>
      <c r="E30" s="90"/>
      <c r="F30" s="90"/>
      <c r="G30" s="90"/>
      <c r="H30" s="90"/>
    </row>
    <row r="31" spans="1:9" s="68" customFormat="1" ht="9" x14ac:dyDescent="0.15">
      <c r="A31" s="91"/>
      <c r="B31" s="91"/>
      <c r="C31" s="91"/>
      <c r="D31" s="91"/>
      <c r="E31" s="91"/>
      <c r="F31" s="91"/>
      <c r="G31" s="91"/>
      <c r="H31" s="91"/>
    </row>
  </sheetData>
  <mergeCells count="12">
    <mergeCell ref="A31:H31"/>
    <mergeCell ref="A1:H1"/>
    <mergeCell ref="A2:H2"/>
    <mergeCell ref="A4:A5"/>
    <mergeCell ref="A23:H23"/>
    <mergeCell ref="A24:H24"/>
    <mergeCell ref="A25:H25"/>
    <mergeCell ref="A26:H26"/>
    <mergeCell ref="A27:H27"/>
    <mergeCell ref="A28:H28"/>
    <mergeCell ref="A29:H29"/>
    <mergeCell ref="A30:H30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0F671E-57E9-40B3-93A0-1C7FC90EA08B}">
  <dimension ref="A1:I30"/>
  <sheetViews>
    <sheetView workbookViewId="0">
      <selection activeCell="C8" sqref="C8"/>
    </sheetView>
  </sheetViews>
  <sheetFormatPr baseColWidth="10" defaultRowHeight="15" x14ac:dyDescent="0.25"/>
  <cols>
    <col min="1" max="1" width="13.140625" style="1" customWidth="1"/>
    <col min="2" max="8" width="16.5703125" style="1" customWidth="1"/>
    <col min="9" max="16384" width="11.42578125" style="1"/>
  </cols>
  <sheetData>
    <row r="1" spans="1:9" s="6" customFormat="1" ht="14.25" customHeight="1" x14ac:dyDescent="0.25">
      <c r="A1" s="80"/>
      <c r="B1" s="80"/>
      <c r="C1" s="80"/>
      <c r="D1" s="80"/>
      <c r="E1" s="80"/>
      <c r="F1" s="80"/>
      <c r="G1" s="80"/>
      <c r="H1" s="80"/>
    </row>
    <row r="2" spans="1:9" s="6" customFormat="1" ht="12.75" x14ac:dyDescent="0.25">
      <c r="A2" s="81" t="s">
        <v>38</v>
      </c>
      <c r="B2" s="81"/>
      <c r="C2" s="81"/>
      <c r="D2" s="81"/>
      <c r="E2" s="81"/>
      <c r="F2" s="81"/>
      <c r="G2" s="81"/>
      <c r="H2" s="81"/>
    </row>
    <row r="3" spans="1:9" s="6" customFormat="1" ht="14.25" customHeight="1" x14ac:dyDescent="0.2">
      <c r="A3" s="2"/>
      <c r="B3" s="3"/>
      <c r="C3" s="3"/>
      <c r="D3" s="4"/>
      <c r="E3" s="4"/>
      <c r="F3" s="5"/>
    </row>
    <row r="4" spans="1:9" s="65" customFormat="1" ht="67.5" customHeight="1" x14ac:dyDescent="0.25">
      <c r="A4" s="82" t="s">
        <v>1</v>
      </c>
      <c r="B4" s="7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7" t="s">
        <v>8</v>
      </c>
    </row>
    <row r="5" spans="1:9" s="6" customFormat="1" x14ac:dyDescent="0.2">
      <c r="A5" s="83"/>
      <c r="B5" s="8" t="s">
        <v>9</v>
      </c>
      <c r="C5" s="8" t="s">
        <v>9</v>
      </c>
      <c r="D5" s="8" t="s">
        <v>9</v>
      </c>
      <c r="E5" s="8" t="s">
        <v>9</v>
      </c>
      <c r="F5" s="8" t="s">
        <v>10</v>
      </c>
      <c r="G5" s="8"/>
      <c r="H5" s="8"/>
    </row>
    <row r="6" spans="1:9" s="6" customFormat="1" ht="3" customHeight="1" x14ac:dyDescent="0.25">
      <c r="A6" s="2"/>
      <c r="B6" s="3"/>
      <c r="C6" s="3"/>
      <c r="D6" s="9"/>
      <c r="E6" s="9"/>
      <c r="F6" s="10"/>
      <c r="I6" s="66"/>
    </row>
    <row r="7" spans="1:9" s="6" customFormat="1" ht="12" customHeight="1" x14ac:dyDescent="0.2">
      <c r="A7" s="11" t="s">
        <v>56</v>
      </c>
      <c r="B7" s="12">
        <f>AVERAGE(B9:B20)</f>
        <v>1319850.1022030434</v>
      </c>
      <c r="C7" s="12">
        <f t="shared" ref="C7:H7" si="0">AVERAGE(C9:C20)</f>
        <v>767373.84</v>
      </c>
      <c r="D7" s="12">
        <f>AVERAGE(D9:D20)</f>
        <v>161091.22833333333</v>
      </c>
      <c r="E7" s="12">
        <f t="shared" si="0"/>
        <v>45083.520000000011</v>
      </c>
      <c r="F7" s="12">
        <f t="shared" si="0"/>
        <v>27.989787742978312</v>
      </c>
      <c r="G7" s="13">
        <f t="shared" si="0"/>
        <v>358879.5</v>
      </c>
      <c r="H7" s="13">
        <f t="shared" si="0"/>
        <v>111114.5</v>
      </c>
    </row>
    <row r="8" spans="1:9" s="6" customFormat="1" ht="3" customHeight="1" x14ac:dyDescent="0.2">
      <c r="A8" s="14"/>
      <c r="B8" s="15"/>
      <c r="C8" s="15"/>
      <c r="D8" s="16"/>
      <c r="E8" s="16"/>
      <c r="F8" s="17"/>
      <c r="G8" s="18"/>
      <c r="H8" s="18"/>
    </row>
    <row r="9" spans="1:9" s="6" customFormat="1" ht="13.5" customHeight="1" x14ac:dyDescent="0.2">
      <c r="A9" s="19" t="s">
        <v>11</v>
      </c>
      <c r="B9" s="20">
        <f>(354.59/264.18)*1000000</f>
        <v>1342228.7834052537</v>
      </c>
      <c r="C9" s="20">
        <f>(3197391*300*80%/1000)</f>
        <v>767373.84</v>
      </c>
      <c r="D9" s="21">
        <v>157952.26</v>
      </c>
      <c r="E9" s="20">
        <v>45083.519999999997</v>
      </c>
      <c r="F9" s="17">
        <f t="shared" ref="F9:F20" si="1">E9/D9*100</f>
        <v>28.542497587562217</v>
      </c>
      <c r="G9" s="22">
        <v>357679</v>
      </c>
      <c r="H9" s="22">
        <v>109018</v>
      </c>
      <c r="I9" s="67"/>
    </row>
    <row r="10" spans="1:9" s="6" customFormat="1" ht="13.5" customHeight="1" x14ac:dyDescent="0.2">
      <c r="A10" s="19" t="s">
        <v>12</v>
      </c>
      <c r="B10" s="20">
        <f>(381.13/264.18)*1000000</f>
        <v>1442690.5897494133</v>
      </c>
      <c r="C10" s="20">
        <f>(3197391*300*80%/1000)</f>
        <v>767373.84</v>
      </c>
      <c r="D10" s="21">
        <v>159206.68</v>
      </c>
      <c r="E10" s="20">
        <v>45083.519999999997</v>
      </c>
      <c r="F10" s="17">
        <f t="shared" si="1"/>
        <v>28.317605768803165</v>
      </c>
      <c r="G10" s="22">
        <v>357651</v>
      </c>
      <c r="H10" s="22">
        <v>109212</v>
      </c>
      <c r="I10" s="67"/>
    </row>
    <row r="11" spans="1:9" s="6" customFormat="1" ht="13.5" customHeight="1" x14ac:dyDescent="0.2">
      <c r="A11" s="19" t="s">
        <v>13</v>
      </c>
      <c r="B11" s="20">
        <f>(357.24/264.18)*1000000</f>
        <v>1352259.8228480583</v>
      </c>
      <c r="C11" s="20">
        <f t="shared" ref="C11:C20" si="2">(3197391*300*80%/1000)</f>
        <v>767373.84</v>
      </c>
      <c r="D11" s="21">
        <v>159919.20000000001</v>
      </c>
      <c r="E11" s="20">
        <v>45083.519999999997</v>
      </c>
      <c r="F11" s="17">
        <f t="shared" si="1"/>
        <v>28.191436675521135</v>
      </c>
      <c r="G11" s="22">
        <v>357712</v>
      </c>
      <c r="H11" s="22">
        <v>109562</v>
      </c>
      <c r="I11" s="67"/>
    </row>
    <row r="12" spans="1:9" s="6" customFormat="1" ht="13.5" customHeight="1" x14ac:dyDescent="0.2">
      <c r="A12" s="19" t="s">
        <v>14</v>
      </c>
      <c r="B12" s="20">
        <f>(344.3/264.18)*1000000</f>
        <v>1303278.0679839505</v>
      </c>
      <c r="C12" s="20">
        <f t="shared" si="2"/>
        <v>767373.84</v>
      </c>
      <c r="D12" s="21">
        <v>159765.6</v>
      </c>
      <c r="E12" s="20">
        <v>45083.519999999997</v>
      </c>
      <c r="F12" s="17">
        <f t="shared" si="1"/>
        <v>28.218540161336353</v>
      </c>
      <c r="G12" s="22">
        <v>357966</v>
      </c>
      <c r="H12" s="22">
        <v>110111</v>
      </c>
      <c r="I12" s="67"/>
    </row>
    <row r="13" spans="1:9" s="6" customFormat="1" ht="13.5" customHeight="1" x14ac:dyDescent="0.2">
      <c r="A13" s="19" t="s">
        <v>15</v>
      </c>
      <c r="B13" s="20">
        <f>(323.8/264.18)*1000000</f>
        <v>1225679.4609735785</v>
      </c>
      <c r="C13" s="20">
        <f t="shared" si="2"/>
        <v>767373.84</v>
      </c>
      <c r="D13" s="21">
        <v>159818.4</v>
      </c>
      <c r="E13" s="20">
        <v>45083.519999999997</v>
      </c>
      <c r="F13" s="17">
        <f t="shared" si="1"/>
        <v>28.209217461819165</v>
      </c>
      <c r="G13" s="22">
        <v>358252</v>
      </c>
      <c r="H13" s="22">
        <v>110637</v>
      </c>
      <c r="I13" s="67"/>
    </row>
    <row r="14" spans="1:9" s="6" customFormat="1" ht="13.5" customHeight="1" x14ac:dyDescent="0.2">
      <c r="A14" s="19" t="s">
        <v>16</v>
      </c>
      <c r="B14" s="20">
        <f>(337.658/264.18)*1000000</f>
        <v>1278136.11931259</v>
      </c>
      <c r="C14" s="20">
        <f t="shared" si="2"/>
        <v>767373.84</v>
      </c>
      <c r="D14" s="21">
        <v>160927.54</v>
      </c>
      <c r="E14" s="20">
        <v>45083.519999999997</v>
      </c>
      <c r="F14" s="17">
        <f t="shared" si="1"/>
        <v>28.014794733082972</v>
      </c>
      <c r="G14" s="22">
        <v>358552</v>
      </c>
      <c r="H14" s="22">
        <v>111270</v>
      </c>
      <c r="I14" s="67"/>
    </row>
    <row r="15" spans="1:9" s="6" customFormat="1" ht="13.5" customHeight="1" x14ac:dyDescent="0.2">
      <c r="A15" s="19" t="s">
        <v>17</v>
      </c>
      <c r="B15" s="20">
        <f>(337.133/264.18)*1000000</f>
        <v>1276148.8379135437</v>
      </c>
      <c r="C15" s="20">
        <f t="shared" si="2"/>
        <v>767373.84</v>
      </c>
      <c r="D15" s="21">
        <v>161337.60000000001</v>
      </c>
      <c r="E15" s="20">
        <v>45083.519999999997</v>
      </c>
      <c r="F15" s="17">
        <f t="shared" si="1"/>
        <v>27.943591574437697</v>
      </c>
      <c r="G15" s="22">
        <v>358652</v>
      </c>
      <c r="H15" s="22">
        <v>111476</v>
      </c>
      <c r="I15" s="67"/>
    </row>
    <row r="16" spans="1:9" s="6" customFormat="1" ht="13.5" customHeight="1" x14ac:dyDescent="0.2">
      <c r="A16" s="19" t="s">
        <v>18</v>
      </c>
      <c r="B16" s="20">
        <f>(309.614/264.18)*1000000</f>
        <v>1171981.2249224014</v>
      </c>
      <c r="C16" s="20">
        <f t="shared" si="2"/>
        <v>767373.84</v>
      </c>
      <c r="D16" s="21">
        <v>161717</v>
      </c>
      <c r="E16" s="20">
        <v>45083.519999999997</v>
      </c>
      <c r="F16" s="17">
        <f t="shared" si="1"/>
        <v>27.878033849255178</v>
      </c>
      <c r="G16" s="22">
        <v>358984</v>
      </c>
      <c r="H16" s="22">
        <v>111548</v>
      </c>
      <c r="I16" s="67"/>
    </row>
    <row r="17" spans="1:9" s="6" customFormat="1" ht="13.5" customHeight="1" x14ac:dyDescent="0.2">
      <c r="A17" s="19" t="s">
        <v>19</v>
      </c>
      <c r="B17" s="20">
        <f>(350.36/264.18)*1000000</f>
        <v>1326216.973275797</v>
      </c>
      <c r="C17" s="20">
        <f t="shared" si="2"/>
        <v>767373.84</v>
      </c>
      <c r="D17" s="21">
        <v>161717</v>
      </c>
      <c r="E17" s="20">
        <v>45083.519999999997</v>
      </c>
      <c r="F17" s="17">
        <f t="shared" si="1"/>
        <v>27.878033849255178</v>
      </c>
      <c r="G17" s="22">
        <v>359896</v>
      </c>
      <c r="H17" s="22">
        <v>112418</v>
      </c>
      <c r="I17" s="67"/>
    </row>
    <row r="18" spans="1:9" s="6" customFormat="1" ht="13.5" customHeight="1" x14ac:dyDescent="0.2">
      <c r="A18" s="19" t="s">
        <v>20</v>
      </c>
      <c r="B18" s="20">
        <f>(339.01/264.18)*1000000</f>
        <v>1283253.8420773714</v>
      </c>
      <c r="C18" s="20">
        <f t="shared" si="2"/>
        <v>767373.84</v>
      </c>
      <c r="D18" s="21">
        <v>162792</v>
      </c>
      <c r="E18" s="20">
        <v>45083.519999999997</v>
      </c>
      <c r="F18" s="17">
        <f t="shared" si="1"/>
        <v>27.693940734188409</v>
      </c>
      <c r="G18" s="22">
        <v>360543</v>
      </c>
      <c r="H18" s="22">
        <v>112688</v>
      </c>
      <c r="I18" s="67"/>
    </row>
    <row r="19" spans="1:9" s="6" customFormat="1" ht="13.5" customHeight="1" x14ac:dyDescent="0.2">
      <c r="A19" s="19" t="s">
        <v>21</v>
      </c>
      <c r="B19" s="20">
        <f>(368.192/264.18)*1000000</f>
        <v>1393716.4054811113</v>
      </c>
      <c r="C19" s="20">
        <f t="shared" si="2"/>
        <v>767373.84</v>
      </c>
      <c r="D19" s="20">
        <v>163824.46</v>
      </c>
      <c r="E19" s="20">
        <v>45083.519999999997</v>
      </c>
      <c r="F19" s="17">
        <f t="shared" si="1"/>
        <v>27.519407053134799</v>
      </c>
      <c r="G19" s="22">
        <v>360771</v>
      </c>
      <c r="H19" s="22">
        <v>113016</v>
      </c>
      <c r="I19" s="67"/>
    </row>
    <row r="20" spans="1:9" s="6" customFormat="1" ht="13.5" customHeight="1" x14ac:dyDescent="0.2">
      <c r="A20" s="19" t="s">
        <v>22</v>
      </c>
      <c r="B20" s="20">
        <f>(381.109/264.18)*1000000</f>
        <v>1442611.0984934513</v>
      </c>
      <c r="C20" s="20">
        <f t="shared" si="2"/>
        <v>767373.84</v>
      </c>
      <c r="D20" s="20">
        <v>164117</v>
      </c>
      <c r="E20" s="20">
        <v>45083.519999999997</v>
      </c>
      <c r="F20" s="17">
        <f t="shared" si="1"/>
        <v>27.470353467343418</v>
      </c>
      <c r="G20" s="22">
        <v>359896</v>
      </c>
      <c r="H20" s="22">
        <v>112418</v>
      </c>
      <c r="I20" s="67"/>
    </row>
    <row r="21" spans="1:9" s="32" customFormat="1" ht="4.5" customHeight="1" x14ac:dyDescent="0.2">
      <c r="A21" s="23"/>
      <c r="B21" s="24"/>
      <c r="C21" s="24"/>
      <c r="D21" s="25"/>
      <c r="E21" s="25"/>
      <c r="F21" s="26"/>
      <c r="G21" s="27"/>
      <c r="H21" s="27"/>
    </row>
    <row r="22" spans="1:9" s="32" customFormat="1" ht="4.5" customHeight="1" x14ac:dyDescent="0.2">
      <c r="A22" s="28"/>
      <c r="B22" s="29"/>
      <c r="C22" s="29"/>
      <c r="D22" s="30"/>
      <c r="E22" s="30"/>
      <c r="F22" s="31"/>
    </row>
    <row r="23" spans="1:9" s="32" customFormat="1" ht="12" customHeight="1" x14ac:dyDescent="0.2">
      <c r="A23" s="90" t="s">
        <v>41</v>
      </c>
      <c r="B23" s="90"/>
      <c r="C23" s="90"/>
      <c r="D23" s="90"/>
      <c r="E23" s="90"/>
      <c r="F23" s="90"/>
      <c r="G23" s="90"/>
      <c r="H23" s="90"/>
    </row>
    <row r="24" spans="1:9" s="68" customFormat="1" ht="12" customHeight="1" x14ac:dyDescent="0.15">
      <c r="A24" s="90" t="s">
        <v>39</v>
      </c>
      <c r="B24" s="90"/>
      <c r="C24" s="90"/>
      <c r="D24" s="90"/>
      <c r="E24" s="90"/>
      <c r="F24" s="90"/>
      <c r="G24" s="90"/>
      <c r="H24" s="90"/>
    </row>
    <row r="25" spans="1:9" s="68" customFormat="1" ht="12" customHeight="1" x14ac:dyDescent="0.15">
      <c r="A25" s="90" t="s">
        <v>24</v>
      </c>
      <c r="B25" s="90"/>
      <c r="C25" s="90"/>
      <c r="D25" s="90"/>
      <c r="E25" s="90"/>
      <c r="F25" s="90"/>
      <c r="G25" s="90"/>
      <c r="H25" s="90"/>
    </row>
    <row r="26" spans="1:9" s="68" customFormat="1" ht="12" customHeight="1" x14ac:dyDescent="0.15">
      <c r="A26" s="90" t="s">
        <v>25</v>
      </c>
      <c r="B26" s="90"/>
      <c r="C26" s="90"/>
      <c r="D26" s="90"/>
      <c r="E26" s="90"/>
      <c r="F26" s="90"/>
      <c r="G26" s="90"/>
      <c r="H26" s="90"/>
    </row>
    <row r="27" spans="1:9" s="68" customFormat="1" ht="12" customHeight="1" x14ac:dyDescent="0.15">
      <c r="A27" s="90" t="s">
        <v>26</v>
      </c>
      <c r="B27" s="90">
        <f>( 421.71/264.18)*1000000</f>
        <v>1596297.9786509196</v>
      </c>
      <c r="C27" s="90"/>
      <c r="D27" s="90"/>
      <c r="E27" s="90"/>
      <c r="F27" s="90"/>
      <c r="G27" s="90"/>
      <c r="H27" s="90"/>
    </row>
    <row r="28" spans="1:9" s="68" customFormat="1" ht="12" customHeight="1" x14ac:dyDescent="0.15">
      <c r="A28" s="90" t="s">
        <v>34</v>
      </c>
      <c r="B28" s="90"/>
      <c r="C28" s="90"/>
      <c r="D28" s="90"/>
      <c r="E28" s="90"/>
      <c r="F28" s="90"/>
      <c r="G28" s="90"/>
      <c r="H28" s="90"/>
    </row>
    <row r="29" spans="1:9" s="68" customFormat="1" ht="12" customHeight="1" x14ac:dyDescent="0.15">
      <c r="A29" s="90" t="s">
        <v>40</v>
      </c>
      <c r="B29" s="90"/>
      <c r="C29" s="90"/>
      <c r="D29" s="90"/>
      <c r="E29" s="90"/>
      <c r="F29" s="90"/>
      <c r="G29" s="90"/>
      <c r="H29" s="90"/>
    </row>
    <row r="30" spans="1:9" s="32" customFormat="1" ht="12" customHeight="1" x14ac:dyDescent="0.2">
      <c r="A30" s="90" t="s">
        <v>29</v>
      </c>
      <c r="B30" s="90"/>
      <c r="C30" s="90"/>
      <c r="D30" s="90"/>
      <c r="E30" s="90"/>
      <c r="F30" s="90"/>
      <c r="G30" s="90"/>
      <c r="H30" s="90"/>
    </row>
  </sheetData>
  <mergeCells count="11">
    <mergeCell ref="A30:H30"/>
    <mergeCell ref="A1:H1"/>
    <mergeCell ref="A2:H2"/>
    <mergeCell ref="A4:A5"/>
    <mergeCell ref="A23:H23"/>
    <mergeCell ref="A24:H24"/>
    <mergeCell ref="A25:H25"/>
    <mergeCell ref="A26:H26"/>
    <mergeCell ref="A27:H27"/>
    <mergeCell ref="A28:H28"/>
    <mergeCell ref="A29:H29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2972F0-BE31-48FE-9C99-8544C26EFEC3}">
  <dimension ref="A1:K31"/>
  <sheetViews>
    <sheetView workbookViewId="0">
      <selection activeCell="A7" sqref="A7"/>
    </sheetView>
  </sheetViews>
  <sheetFormatPr baseColWidth="10" defaultRowHeight="15" x14ac:dyDescent="0.25"/>
  <cols>
    <col min="1" max="1" width="13.140625" style="1" customWidth="1"/>
    <col min="2" max="11" width="14.5703125" style="1" customWidth="1"/>
    <col min="12" max="16384" width="11.42578125" style="1"/>
  </cols>
  <sheetData>
    <row r="1" spans="1:11" x14ac:dyDescent="0.25">
      <c r="A1" s="80"/>
      <c r="B1" s="80"/>
      <c r="C1" s="80"/>
      <c r="D1" s="80"/>
      <c r="E1" s="80"/>
      <c r="F1" s="80"/>
      <c r="G1" s="80"/>
      <c r="H1" s="80"/>
      <c r="I1" s="80"/>
      <c r="J1" s="6"/>
      <c r="K1" s="6"/>
    </row>
    <row r="2" spans="1:11" x14ac:dyDescent="0.25">
      <c r="A2" s="81" t="s">
        <v>42</v>
      </c>
      <c r="B2" s="81"/>
      <c r="C2" s="81"/>
      <c r="D2" s="81"/>
      <c r="E2" s="81"/>
      <c r="F2" s="81"/>
      <c r="G2" s="81"/>
      <c r="H2" s="81"/>
      <c r="I2" s="81"/>
      <c r="J2" s="81"/>
      <c r="K2" s="81"/>
    </row>
    <row r="3" spans="1:11" x14ac:dyDescent="0.25">
      <c r="A3" s="2"/>
      <c r="B3" s="3"/>
      <c r="C3" s="3"/>
      <c r="D3" s="4"/>
      <c r="E3" s="4"/>
      <c r="F3" s="5"/>
      <c r="G3" s="5"/>
      <c r="H3" s="6"/>
      <c r="I3" s="6"/>
      <c r="J3" s="6"/>
      <c r="K3" s="6"/>
    </row>
    <row r="4" spans="1:11" ht="71.25" customHeight="1" x14ac:dyDescent="0.25">
      <c r="A4" s="82" t="s">
        <v>1</v>
      </c>
      <c r="B4" s="7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7" t="s">
        <v>43</v>
      </c>
      <c r="H4" s="7" t="s">
        <v>44</v>
      </c>
      <c r="I4" s="7" t="s">
        <v>45</v>
      </c>
      <c r="J4" s="8" t="s">
        <v>46</v>
      </c>
      <c r="K4" s="8" t="s">
        <v>47</v>
      </c>
    </row>
    <row r="5" spans="1:11" x14ac:dyDescent="0.25">
      <c r="A5" s="83"/>
      <c r="B5" s="8" t="s">
        <v>9</v>
      </c>
      <c r="C5" s="8" t="s">
        <v>9</v>
      </c>
      <c r="D5" s="8" t="s">
        <v>9</v>
      </c>
      <c r="E5" s="8" t="s">
        <v>9</v>
      </c>
      <c r="F5" s="8" t="s">
        <v>10</v>
      </c>
      <c r="G5" s="8" t="s">
        <v>10</v>
      </c>
      <c r="H5" s="8"/>
      <c r="I5" s="8"/>
      <c r="J5" s="69"/>
      <c r="K5" s="8" t="s">
        <v>10</v>
      </c>
    </row>
    <row r="6" spans="1:11" ht="3" customHeight="1" x14ac:dyDescent="0.25">
      <c r="A6" s="2"/>
      <c r="B6" s="3"/>
      <c r="C6" s="3"/>
      <c r="D6" s="9"/>
      <c r="E6" s="9"/>
      <c r="F6" s="10"/>
      <c r="G6" s="10"/>
      <c r="H6" s="6"/>
      <c r="I6" s="6"/>
      <c r="J6" s="6"/>
      <c r="K6" s="6"/>
    </row>
    <row r="7" spans="1:11" ht="14.25" customHeight="1" x14ac:dyDescent="0.25">
      <c r="A7" s="11" t="s">
        <v>56</v>
      </c>
      <c r="B7" s="12">
        <f>AVERAGE(B9:B20)</f>
        <v>1521472.4177959468</v>
      </c>
      <c r="C7" s="12">
        <f t="shared" ref="C7:I7" si="0">AVERAGE(C9:C20)</f>
        <v>780802.88500000024</v>
      </c>
      <c r="D7" s="12">
        <f>AVERAGE(D9:D20)</f>
        <v>170331.13833333334</v>
      </c>
      <c r="E7" s="12">
        <f t="shared" si="0"/>
        <v>45462.020000000011</v>
      </c>
      <c r="F7" s="70">
        <f>AVERAGE(F9:F20)</f>
        <v>26.698548544939118</v>
      </c>
      <c r="G7" s="70">
        <f t="shared" si="0"/>
        <v>5.8231090940144945</v>
      </c>
      <c r="H7" s="13">
        <f t="shared" si="0"/>
        <v>364111.41666666669</v>
      </c>
      <c r="I7" s="13">
        <f t="shared" si="0"/>
        <v>118739.33333333333</v>
      </c>
      <c r="J7" s="71">
        <f>AVERAGE(J9:J20)</f>
        <v>568982.75</v>
      </c>
      <c r="K7" s="70">
        <f>AVERAGE(K9:K20)</f>
        <v>20.867643431556083</v>
      </c>
    </row>
    <row r="8" spans="1:11" ht="3" customHeight="1" x14ac:dyDescent="0.25">
      <c r="A8" s="14"/>
      <c r="B8" s="15"/>
      <c r="C8" s="15"/>
      <c r="D8" s="16"/>
      <c r="E8" s="16"/>
      <c r="F8" s="72"/>
      <c r="G8" s="72"/>
      <c r="H8" s="18"/>
      <c r="I8" s="18"/>
      <c r="J8" s="73"/>
      <c r="K8" s="72"/>
    </row>
    <row r="9" spans="1:11" x14ac:dyDescent="0.25">
      <c r="A9" s="19" t="s">
        <v>11</v>
      </c>
      <c r="B9" s="20">
        <f>(370.46/264.18)*1000000</f>
        <v>1402301.4611249904</v>
      </c>
      <c r="C9" s="20">
        <f>(3197391*300*80%/1000)</f>
        <v>767373.84</v>
      </c>
      <c r="D9" s="21">
        <v>164108</v>
      </c>
      <c r="E9" s="20">
        <v>45083.519999999997</v>
      </c>
      <c r="F9" s="72">
        <f t="shared" ref="F9:F20" si="1">E9/D9*100</f>
        <v>27.471859994637676</v>
      </c>
      <c r="G9" s="72">
        <f t="shared" ref="G9:G20" si="2">+E9/C9*100</f>
        <v>5.8750399935447364</v>
      </c>
      <c r="H9" s="22">
        <v>361465</v>
      </c>
      <c r="I9" s="22">
        <v>113142</v>
      </c>
      <c r="J9" s="74">
        <v>565852</v>
      </c>
      <c r="K9" s="72">
        <f>+I9/J9*100</f>
        <v>19.994981019771956</v>
      </c>
    </row>
    <row r="10" spans="1:11" x14ac:dyDescent="0.25">
      <c r="A10" s="19" t="s">
        <v>12</v>
      </c>
      <c r="B10" s="20">
        <f>(380.25/264.18)*1000000</f>
        <v>1439359.5275948218</v>
      </c>
      <c r="C10" s="20">
        <f>(3197391*300*80%/1000)</f>
        <v>767373.84</v>
      </c>
      <c r="D10" s="21">
        <v>163821</v>
      </c>
      <c r="E10" s="20">
        <v>45083.519999999997</v>
      </c>
      <c r="F10" s="72">
        <f t="shared" si="1"/>
        <v>27.519988279890857</v>
      </c>
      <c r="G10" s="72">
        <f t="shared" si="2"/>
        <v>5.8750399935447364</v>
      </c>
      <c r="H10" s="22">
        <v>361592</v>
      </c>
      <c r="I10" s="22">
        <v>113608</v>
      </c>
      <c r="J10" s="74">
        <v>566340</v>
      </c>
      <c r="K10" s="72">
        <f>+I10/J10*100</f>
        <v>20.060034608185894</v>
      </c>
    </row>
    <row r="11" spans="1:11" x14ac:dyDescent="0.25">
      <c r="A11" s="19" t="s">
        <v>13</v>
      </c>
      <c r="B11" s="20">
        <f>(392.84/264.18)*1000000</f>
        <v>1487016.4281928986</v>
      </c>
      <c r="C11" s="20">
        <f t="shared" ref="C11:C13" si="3">(3197391*300*80%/1000)</f>
        <v>767373.84</v>
      </c>
      <c r="D11" s="21">
        <v>165824</v>
      </c>
      <c r="E11" s="20">
        <v>45083.519999999997</v>
      </c>
      <c r="F11" s="72">
        <f t="shared" si="1"/>
        <v>27.187572365881895</v>
      </c>
      <c r="G11" s="72">
        <f t="shared" si="2"/>
        <v>5.8750399935447364</v>
      </c>
      <c r="H11" s="22">
        <v>362651</v>
      </c>
      <c r="I11" s="22">
        <v>118059</v>
      </c>
      <c r="J11" s="74">
        <v>566891</v>
      </c>
      <c r="K11" s="72">
        <f t="shared" ref="K11:K20" si="4">+I11/J11*100</f>
        <v>20.825696650678879</v>
      </c>
    </row>
    <row r="12" spans="1:11" x14ac:dyDescent="0.25">
      <c r="A12" s="19" t="s">
        <v>14</v>
      </c>
      <c r="B12" s="20">
        <f>(389.09/264.18)*1000000</f>
        <v>1472821.5610568551</v>
      </c>
      <c r="C12" s="20">
        <f t="shared" si="3"/>
        <v>767373.84</v>
      </c>
      <c r="D12" s="21">
        <v>168410.46</v>
      </c>
      <c r="E12" s="20">
        <v>45083.519999999997</v>
      </c>
      <c r="F12" s="72">
        <f t="shared" si="1"/>
        <v>26.770023667176019</v>
      </c>
      <c r="G12" s="72">
        <f t="shared" si="2"/>
        <v>5.8750399935447364</v>
      </c>
      <c r="H12" s="22">
        <v>363067</v>
      </c>
      <c r="I12" s="22">
        <v>118390</v>
      </c>
      <c r="J12" s="74">
        <v>567718</v>
      </c>
      <c r="K12" s="72">
        <f t="shared" si="4"/>
        <v>20.85366326239436</v>
      </c>
    </row>
    <row r="13" spans="1:11" x14ac:dyDescent="0.25">
      <c r="A13" s="19" t="s">
        <v>15</v>
      </c>
      <c r="B13" s="20">
        <f>(401.656/264.18)*1000000</f>
        <v>1520387.6145052614</v>
      </c>
      <c r="C13" s="20">
        <f t="shared" si="3"/>
        <v>767373.84</v>
      </c>
      <c r="D13" s="21">
        <v>169366.98</v>
      </c>
      <c r="E13" s="20">
        <v>45084.52</v>
      </c>
      <c r="F13" s="72">
        <f t="shared" si="1"/>
        <v>26.619427234281435</v>
      </c>
      <c r="G13" s="72">
        <f t="shared" si="2"/>
        <v>5.8751703081251767</v>
      </c>
      <c r="H13" s="22">
        <v>363536</v>
      </c>
      <c r="I13" s="22">
        <v>119333</v>
      </c>
      <c r="J13" s="74">
        <v>569266</v>
      </c>
      <c r="K13" s="72">
        <f t="shared" si="4"/>
        <v>20.962607989937922</v>
      </c>
    </row>
    <row r="14" spans="1:11" x14ac:dyDescent="0.25">
      <c r="A14" s="19" t="s">
        <v>16</v>
      </c>
      <c r="B14" s="20">
        <f>(409.067/264.18)*1000000</f>
        <v>1548440.4572639868</v>
      </c>
      <c r="C14" s="20">
        <v>790395.06</v>
      </c>
      <c r="D14" s="21">
        <v>170755.20000000001</v>
      </c>
      <c r="E14" s="20">
        <v>45084.52</v>
      </c>
      <c r="F14" s="72">
        <f t="shared" si="1"/>
        <v>26.403014373793592</v>
      </c>
      <c r="G14" s="72">
        <f t="shared" si="2"/>
        <v>5.7040488081997873</v>
      </c>
      <c r="H14" s="22">
        <v>364082</v>
      </c>
      <c r="I14" s="22">
        <v>119422</v>
      </c>
      <c r="J14" s="74">
        <v>569830</v>
      </c>
      <c r="K14" s="72">
        <f t="shared" si="4"/>
        <v>20.957478546233087</v>
      </c>
    </row>
    <row r="15" spans="1:11" x14ac:dyDescent="0.25">
      <c r="A15" s="19" t="s">
        <v>17</v>
      </c>
      <c r="B15" s="20">
        <f>(411.521/264.18)*1000000</f>
        <v>1557729.5783178136</v>
      </c>
      <c r="C15" s="20">
        <v>790395.06</v>
      </c>
      <c r="D15" s="21">
        <v>171787.86</v>
      </c>
      <c r="E15" s="20">
        <v>45084.52</v>
      </c>
      <c r="F15" s="72">
        <f t="shared" si="1"/>
        <v>26.244299218815581</v>
      </c>
      <c r="G15" s="72">
        <f t="shared" si="2"/>
        <v>5.7040488081997873</v>
      </c>
      <c r="H15" s="22">
        <v>364350</v>
      </c>
      <c r="I15" s="22">
        <v>120046</v>
      </c>
      <c r="J15" s="74">
        <v>569118</v>
      </c>
      <c r="K15" s="72">
        <f t="shared" si="4"/>
        <v>21.0933409240263</v>
      </c>
    </row>
    <row r="16" spans="1:11" x14ac:dyDescent="0.25">
      <c r="A16" s="19" t="s">
        <v>18</v>
      </c>
      <c r="B16" s="20">
        <f>(403.187/264.18)*1000000</f>
        <v>1526182.9055946702</v>
      </c>
      <c r="C16" s="20">
        <v>790395.06</v>
      </c>
      <c r="D16" s="21">
        <v>172821.26</v>
      </c>
      <c r="E16" s="20">
        <v>45084.52</v>
      </c>
      <c r="F16" s="72">
        <f t="shared" si="1"/>
        <v>26.087369111878939</v>
      </c>
      <c r="G16" s="72">
        <f t="shared" si="2"/>
        <v>5.7040488081997873</v>
      </c>
      <c r="H16" s="22">
        <v>364729</v>
      </c>
      <c r="I16" s="22">
        <v>120249</v>
      </c>
      <c r="J16" s="74">
        <v>570005</v>
      </c>
      <c r="K16" s="72">
        <f t="shared" si="4"/>
        <v>21.096130735695301</v>
      </c>
    </row>
    <row r="17" spans="1:11" x14ac:dyDescent="0.25">
      <c r="A17" s="19" t="s">
        <v>19</v>
      </c>
      <c r="B17" s="20">
        <f>(413.56/264.18)*1000000</f>
        <v>1565447.8007419184</v>
      </c>
      <c r="C17" s="20">
        <v>790395.06</v>
      </c>
      <c r="D17" s="21">
        <v>173705.35</v>
      </c>
      <c r="E17" s="20">
        <v>45084.52</v>
      </c>
      <c r="F17" s="72">
        <f t="shared" si="1"/>
        <v>25.9545949505873</v>
      </c>
      <c r="G17" s="72">
        <f t="shared" si="2"/>
        <v>5.7040488081997873</v>
      </c>
      <c r="H17" s="22">
        <v>365364</v>
      </c>
      <c r="I17" s="22">
        <v>120447</v>
      </c>
      <c r="J17" s="74">
        <v>570337</v>
      </c>
      <c r="K17" s="72">
        <f t="shared" si="4"/>
        <v>21.118566742119132</v>
      </c>
    </row>
    <row r="18" spans="1:11" x14ac:dyDescent="0.25">
      <c r="A18" s="19" t="s">
        <v>20</v>
      </c>
      <c r="B18" s="20">
        <f>(415.96/264.18)*1000000</f>
        <v>1574532.5157089862</v>
      </c>
      <c r="C18" s="20">
        <v>790395.06</v>
      </c>
      <c r="D18" s="21">
        <v>174105.99</v>
      </c>
      <c r="E18" s="20">
        <v>45084.52</v>
      </c>
      <c r="F18" s="72">
        <f t="shared" si="1"/>
        <v>25.894870130545193</v>
      </c>
      <c r="G18" s="72">
        <f t="shared" si="2"/>
        <v>5.7040488081997873</v>
      </c>
      <c r="H18" s="22">
        <v>365776</v>
      </c>
      <c r="I18" s="22">
        <v>120527</v>
      </c>
      <c r="J18" s="74">
        <v>570594</v>
      </c>
      <c r="K18" s="72">
        <f t="shared" si="4"/>
        <v>21.123075251404678</v>
      </c>
    </row>
    <row r="19" spans="1:11" x14ac:dyDescent="0.25">
      <c r="A19" s="19" t="s">
        <v>21</v>
      </c>
      <c r="B19" s="20">
        <f>(419.47/264.18)*1000000</f>
        <v>1587818.9113483231</v>
      </c>
      <c r="C19" s="20">
        <v>790395.06</v>
      </c>
      <c r="D19" s="20">
        <v>174809.71</v>
      </c>
      <c r="E19" s="20">
        <v>47351.519999999997</v>
      </c>
      <c r="F19" s="72">
        <f t="shared" si="1"/>
        <v>27.087465564698892</v>
      </c>
      <c r="G19" s="72">
        <f t="shared" si="2"/>
        <v>5.9908674024354349</v>
      </c>
      <c r="H19" s="22">
        <v>366118</v>
      </c>
      <c r="I19" s="22">
        <v>120577</v>
      </c>
      <c r="J19" s="74">
        <v>570715</v>
      </c>
      <c r="K19" s="72">
        <f t="shared" si="4"/>
        <v>21.127357788037813</v>
      </c>
    </row>
    <row r="20" spans="1:11" x14ac:dyDescent="0.25">
      <c r="A20" s="19" t="s">
        <v>22</v>
      </c>
      <c r="B20" s="20">
        <f>(416.25/264.18)*1000000</f>
        <v>1575630.2521008402</v>
      </c>
      <c r="C20" s="20">
        <v>790395.06</v>
      </c>
      <c r="D20" s="20">
        <v>174457.85</v>
      </c>
      <c r="E20" s="20">
        <v>47351.519999999997</v>
      </c>
      <c r="F20" s="72">
        <f t="shared" si="1"/>
        <v>27.142097647082085</v>
      </c>
      <c r="G20" s="72">
        <f t="shared" si="2"/>
        <v>5.9908674024354349</v>
      </c>
      <c r="H20" s="22">
        <v>366607</v>
      </c>
      <c r="I20" s="22">
        <v>121072</v>
      </c>
      <c r="J20" s="74">
        <v>571127</v>
      </c>
      <c r="K20" s="72">
        <f t="shared" si="4"/>
        <v>21.198787660187666</v>
      </c>
    </row>
    <row r="21" spans="1:11" ht="3" customHeight="1" x14ac:dyDescent="0.25">
      <c r="A21" s="23"/>
      <c r="B21" s="24"/>
      <c r="C21" s="24"/>
      <c r="D21" s="25"/>
      <c r="E21" s="25"/>
      <c r="F21" s="26"/>
      <c r="G21" s="26"/>
      <c r="H21" s="27"/>
      <c r="I21" s="27"/>
      <c r="J21" s="27"/>
      <c r="K21" s="27"/>
    </row>
    <row r="22" spans="1:11" ht="3" customHeight="1" x14ac:dyDescent="0.25">
      <c r="A22" s="28"/>
      <c r="B22" s="29"/>
      <c r="C22" s="29"/>
      <c r="D22" s="30"/>
      <c r="E22" s="30"/>
      <c r="F22" s="31"/>
      <c r="G22" s="31"/>
      <c r="H22" s="32"/>
      <c r="I22" s="32"/>
      <c r="J22" s="32"/>
      <c r="K22" s="32"/>
    </row>
    <row r="23" spans="1:11" ht="11.25" customHeight="1" x14ac:dyDescent="0.25">
      <c r="A23" s="90" t="s">
        <v>54</v>
      </c>
      <c r="B23" s="90"/>
      <c r="C23" s="90"/>
      <c r="D23" s="90"/>
      <c r="E23" s="90"/>
      <c r="F23" s="90"/>
      <c r="G23" s="90"/>
      <c r="H23" s="90"/>
      <c r="I23" s="90"/>
      <c r="J23" s="32"/>
      <c r="K23" s="32"/>
    </row>
    <row r="24" spans="1:11" ht="11.25" customHeight="1" x14ac:dyDescent="0.25">
      <c r="A24" s="90" t="s">
        <v>23</v>
      </c>
      <c r="B24" s="90"/>
      <c r="C24" s="90"/>
      <c r="D24" s="90"/>
      <c r="E24" s="90"/>
      <c r="F24" s="90"/>
      <c r="G24" s="90"/>
      <c r="H24" s="90"/>
      <c r="I24" s="90"/>
      <c r="J24" s="68"/>
      <c r="K24" s="68"/>
    </row>
    <row r="25" spans="1:11" ht="11.25" customHeight="1" x14ac:dyDescent="0.25">
      <c r="A25" s="90" t="s">
        <v>53</v>
      </c>
      <c r="B25" s="90"/>
      <c r="C25" s="90"/>
      <c r="D25" s="90"/>
      <c r="E25" s="90"/>
      <c r="F25" s="90"/>
      <c r="G25" s="90"/>
      <c r="H25" s="90"/>
      <c r="I25" s="90"/>
      <c r="J25" s="68"/>
      <c r="K25" s="68"/>
    </row>
    <row r="26" spans="1:11" ht="11.25" customHeight="1" x14ac:dyDescent="0.25">
      <c r="A26" s="90" t="s">
        <v>52</v>
      </c>
      <c r="B26" s="90"/>
      <c r="C26" s="90"/>
      <c r="D26" s="90"/>
      <c r="E26" s="90"/>
      <c r="F26" s="90"/>
      <c r="G26" s="90"/>
      <c r="H26" s="90"/>
      <c r="I26" s="90"/>
      <c r="J26" s="68"/>
      <c r="K26" s="68"/>
    </row>
    <row r="27" spans="1:11" ht="11.25" customHeight="1" x14ac:dyDescent="0.25">
      <c r="A27" s="90" t="s">
        <v>26</v>
      </c>
      <c r="B27" s="90">
        <f>( 421.71/264.18)*1000000</f>
        <v>1596297.9786509196</v>
      </c>
      <c r="C27" s="90"/>
      <c r="D27" s="90"/>
      <c r="E27" s="90"/>
      <c r="F27" s="90"/>
      <c r="G27" s="90"/>
      <c r="H27" s="90"/>
      <c r="I27" s="90"/>
      <c r="J27" s="68"/>
      <c r="K27" s="68"/>
    </row>
    <row r="28" spans="1:11" ht="11.25" customHeight="1" x14ac:dyDescent="0.25">
      <c r="A28" s="79" t="s">
        <v>51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</row>
    <row r="29" spans="1:11" ht="11.25" customHeight="1" x14ac:dyDescent="0.25">
      <c r="A29" s="90" t="s">
        <v>50</v>
      </c>
      <c r="B29" s="90"/>
      <c r="C29" s="90"/>
      <c r="D29" s="90"/>
      <c r="E29" s="90"/>
      <c r="F29" s="90"/>
      <c r="G29" s="90"/>
      <c r="H29" s="90"/>
      <c r="I29" s="90"/>
      <c r="J29" s="68"/>
      <c r="K29" s="68"/>
    </row>
    <row r="30" spans="1:11" ht="11.25" customHeight="1" x14ac:dyDescent="0.25">
      <c r="A30" s="90" t="s">
        <v>49</v>
      </c>
      <c r="B30" s="90"/>
      <c r="C30" s="90"/>
      <c r="D30" s="90"/>
      <c r="E30" s="90"/>
      <c r="F30" s="90"/>
      <c r="G30" s="90"/>
      <c r="H30" s="90"/>
      <c r="I30" s="90"/>
      <c r="J30" s="68"/>
      <c r="K30" s="68"/>
    </row>
    <row r="31" spans="1:11" ht="11.25" customHeight="1" x14ac:dyDescent="0.25">
      <c r="A31" s="90" t="s">
        <v>48</v>
      </c>
      <c r="B31" s="90"/>
      <c r="C31" s="90"/>
      <c r="D31" s="90"/>
      <c r="E31" s="90"/>
      <c r="F31" s="90"/>
      <c r="G31" s="90"/>
      <c r="H31" s="90"/>
      <c r="I31" s="90"/>
      <c r="J31" s="68"/>
      <c r="K31" s="68"/>
    </row>
  </sheetData>
  <mergeCells count="12">
    <mergeCell ref="A25:I25"/>
    <mergeCell ref="A1:I1"/>
    <mergeCell ref="A2:K2"/>
    <mergeCell ref="A4:A5"/>
    <mergeCell ref="A23:I23"/>
    <mergeCell ref="A24:I24"/>
    <mergeCell ref="A26:I26"/>
    <mergeCell ref="A27:I27"/>
    <mergeCell ref="A29:I29"/>
    <mergeCell ref="A30:I30"/>
    <mergeCell ref="A31:I31"/>
    <mergeCell ref="A28:K28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046A94-7E1E-488C-9386-A59E6054C5A7}">
  <dimension ref="A1:L31"/>
  <sheetViews>
    <sheetView workbookViewId="0">
      <selection activeCell="L12" sqref="L12"/>
    </sheetView>
  </sheetViews>
  <sheetFormatPr baseColWidth="10" defaultRowHeight="15" x14ac:dyDescent="0.25"/>
  <cols>
    <col min="1" max="1" width="11.42578125" style="1"/>
    <col min="2" max="11" width="15" style="1" customWidth="1"/>
    <col min="12" max="16384" width="11.42578125" style="1"/>
  </cols>
  <sheetData>
    <row r="1" spans="1:12" s="6" customFormat="1" ht="14.25" customHeight="1" x14ac:dyDescent="0.25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2" s="6" customFormat="1" ht="12.75" x14ac:dyDescent="0.25">
      <c r="A2" s="81" t="s">
        <v>55</v>
      </c>
      <c r="B2" s="81"/>
      <c r="C2" s="81"/>
      <c r="D2" s="81"/>
      <c r="E2" s="81"/>
      <c r="F2" s="81"/>
      <c r="G2" s="81"/>
      <c r="H2" s="81"/>
      <c r="I2" s="81"/>
      <c r="J2" s="81"/>
      <c r="K2" s="81"/>
    </row>
    <row r="3" spans="1:12" s="6" customFormat="1" ht="14.25" customHeight="1" x14ac:dyDescent="0.2">
      <c r="A3" s="2"/>
      <c r="B3" s="3"/>
      <c r="C3" s="3"/>
      <c r="D3" s="4"/>
      <c r="E3" s="4"/>
      <c r="F3" s="5"/>
      <c r="G3" s="5"/>
    </row>
    <row r="4" spans="1:12" s="65" customFormat="1" ht="67.5" customHeight="1" x14ac:dyDescent="0.25">
      <c r="A4" s="82" t="s">
        <v>1</v>
      </c>
      <c r="B4" s="7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7" t="s">
        <v>43</v>
      </c>
      <c r="H4" s="7" t="s">
        <v>44</v>
      </c>
      <c r="I4" s="7" t="s">
        <v>45</v>
      </c>
      <c r="J4" s="8" t="s">
        <v>46</v>
      </c>
      <c r="K4" s="8" t="s">
        <v>47</v>
      </c>
      <c r="L4"/>
    </row>
    <row r="5" spans="1:12" s="6" customFormat="1" x14ac:dyDescent="0.2">
      <c r="A5" s="83"/>
      <c r="B5" s="8" t="s">
        <v>9</v>
      </c>
      <c r="C5" s="8" t="s">
        <v>9</v>
      </c>
      <c r="D5" s="8" t="s">
        <v>9</v>
      </c>
      <c r="E5" s="8" t="s">
        <v>9</v>
      </c>
      <c r="F5" s="8" t="s">
        <v>10</v>
      </c>
      <c r="G5" s="8" t="s">
        <v>10</v>
      </c>
      <c r="H5" s="8"/>
      <c r="I5" s="8"/>
      <c r="J5" s="69"/>
      <c r="K5" s="8" t="s">
        <v>10</v>
      </c>
    </row>
    <row r="6" spans="1:12" s="6" customFormat="1" ht="3" customHeight="1" x14ac:dyDescent="0.2">
      <c r="A6" s="2"/>
      <c r="B6" s="3"/>
      <c r="C6" s="3"/>
      <c r="D6" s="9"/>
      <c r="E6" s="9"/>
      <c r="F6" s="10"/>
      <c r="G6" s="10"/>
    </row>
    <row r="7" spans="1:12" s="6" customFormat="1" ht="12" customHeight="1" x14ac:dyDescent="0.2">
      <c r="A7" s="75" t="s">
        <v>56</v>
      </c>
      <c r="B7" s="12">
        <f t="shared" ref="B7:K7" si="0">AVERAGE(B9:B20)</f>
        <v>1558085.3963206904</v>
      </c>
      <c r="C7" s="12">
        <f t="shared" si="0"/>
        <v>882479.92</v>
      </c>
      <c r="D7" s="12">
        <f t="shared" si="0"/>
        <v>194476.06433333331</v>
      </c>
      <c r="E7" s="12">
        <f t="shared" si="0"/>
        <v>48098.300833333342</v>
      </c>
      <c r="F7" s="70">
        <f t="shared" si="0"/>
        <v>24.730796113145022</v>
      </c>
      <c r="G7" s="70">
        <f t="shared" si="0"/>
        <v>5.45035640395459</v>
      </c>
      <c r="H7" s="13">
        <f t="shared" si="0"/>
        <v>370436.33333333331</v>
      </c>
      <c r="I7" s="13">
        <f t="shared" si="0"/>
        <v>123964.66666666667</v>
      </c>
      <c r="J7" s="71">
        <f t="shared" si="0"/>
        <v>572997.16666666663</v>
      </c>
      <c r="K7" s="70">
        <f t="shared" si="0"/>
        <v>21.625859425128905</v>
      </c>
    </row>
    <row r="8" spans="1:12" s="6" customFormat="1" ht="3" customHeight="1" x14ac:dyDescent="0.2">
      <c r="A8" s="14"/>
      <c r="B8" s="15"/>
      <c r="C8" s="15"/>
      <c r="D8" s="16"/>
      <c r="E8" s="16"/>
      <c r="F8" s="72"/>
      <c r="G8" s="72"/>
      <c r="H8" s="18"/>
      <c r="I8" s="18"/>
      <c r="J8" s="73"/>
      <c r="K8" s="72"/>
    </row>
    <row r="9" spans="1:12" s="6" customFormat="1" ht="13.5" customHeight="1" x14ac:dyDescent="0.2">
      <c r="A9" s="19" t="s">
        <v>11</v>
      </c>
      <c r="B9" s="52">
        <v>1591036.4145658263</v>
      </c>
      <c r="C9" s="20">
        <v>882479.92</v>
      </c>
      <c r="D9" s="21">
        <v>188987.04</v>
      </c>
      <c r="E9" s="20">
        <v>47351.519999999997</v>
      </c>
      <c r="F9" s="72">
        <f t="shared" ref="F9:F20" si="1">+E9/D9*100</f>
        <v>25.055432372505543</v>
      </c>
      <c r="G9" s="72">
        <f t="shared" ref="G9:G20" si="2">+E9/C9*100</f>
        <v>5.3657334208805567</v>
      </c>
      <c r="H9" s="22">
        <v>365818</v>
      </c>
      <c r="I9" s="22">
        <v>121196</v>
      </c>
      <c r="J9" s="74">
        <v>570715</v>
      </c>
      <c r="K9" s="72">
        <f t="shared" ref="K9:K19" si="3">+I9/J9*100</f>
        <v>21.235818228012228</v>
      </c>
    </row>
    <row r="10" spans="1:12" s="6" customFormat="1" ht="13.5" customHeight="1" x14ac:dyDescent="0.2">
      <c r="A10" s="19" t="s">
        <v>12</v>
      </c>
      <c r="B10" s="52">
        <v>1565296.3888258005</v>
      </c>
      <c r="C10" s="20">
        <v>882479.92</v>
      </c>
      <c r="D10" s="21">
        <v>189733.92</v>
      </c>
      <c r="E10" s="20">
        <v>47351.519999999997</v>
      </c>
      <c r="F10" s="72">
        <f t="shared" si="1"/>
        <v>24.956802663435191</v>
      </c>
      <c r="G10" s="72">
        <f t="shared" si="2"/>
        <v>5.3657334208805567</v>
      </c>
      <c r="H10" s="22">
        <v>367302</v>
      </c>
      <c r="I10" s="22">
        <v>121581</v>
      </c>
      <c r="J10" s="74">
        <v>572074</v>
      </c>
      <c r="K10" s="72">
        <f t="shared" si="3"/>
        <v>21.252670109111758</v>
      </c>
    </row>
    <row r="11" spans="1:12" s="6" customFormat="1" ht="13.5" customHeight="1" x14ac:dyDescent="0.2">
      <c r="A11" s="19" t="s">
        <v>13</v>
      </c>
      <c r="B11" s="52">
        <v>1578885.6082973729</v>
      </c>
      <c r="C11" s="20">
        <v>882479.92</v>
      </c>
      <c r="D11" s="21">
        <v>190183.75199999998</v>
      </c>
      <c r="E11" s="20">
        <v>47351.519999999997</v>
      </c>
      <c r="F11" s="72">
        <f t="shared" si="1"/>
        <v>24.897773601606094</v>
      </c>
      <c r="G11" s="72">
        <f t="shared" si="2"/>
        <v>5.3657334208805567</v>
      </c>
      <c r="H11" s="22">
        <v>367766</v>
      </c>
      <c r="I11" s="22">
        <v>121736</v>
      </c>
      <c r="J11" s="74">
        <v>572395</v>
      </c>
      <c r="K11" s="72">
        <f t="shared" si="3"/>
        <v>21.267830781191311</v>
      </c>
    </row>
    <row r="12" spans="1:12" s="6" customFormat="1" ht="13.5" customHeight="1" x14ac:dyDescent="0.2">
      <c r="A12" s="19" t="s">
        <v>14</v>
      </c>
      <c r="B12" s="52">
        <v>1552994.1706412295</v>
      </c>
      <c r="C12" s="20">
        <v>882479.92</v>
      </c>
      <c r="D12" s="21">
        <v>190890.21599999999</v>
      </c>
      <c r="E12" s="20">
        <v>47351.519999999997</v>
      </c>
      <c r="F12" s="72">
        <f t="shared" si="1"/>
        <v>24.805629640023039</v>
      </c>
      <c r="G12" s="72">
        <f t="shared" si="2"/>
        <v>5.3657334208805567</v>
      </c>
      <c r="H12" s="22">
        <v>368421</v>
      </c>
      <c r="I12" s="22">
        <v>122092</v>
      </c>
      <c r="J12" s="74">
        <v>572559</v>
      </c>
      <c r="K12" s="72">
        <f t="shared" si="3"/>
        <v>21.32391596324571</v>
      </c>
    </row>
    <row r="13" spans="1:12" s="6" customFormat="1" ht="13.5" customHeight="1" x14ac:dyDescent="0.2">
      <c r="A13" s="19" t="s">
        <v>15</v>
      </c>
      <c r="B13" s="20">
        <v>1464304.6407752289</v>
      </c>
      <c r="C13" s="20">
        <v>882479.92</v>
      </c>
      <c r="D13" s="21">
        <v>192696.77</v>
      </c>
      <c r="E13" s="20">
        <v>47351.519999999997</v>
      </c>
      <c r="F13" s="72">
        <f t="shared" si="1"/>
        <v>24.573074058273008</v>
      </c>
      <c r="G13" s="72">
        <f t="shared" si="2"/>
        <v>5.3657334208805567</v>
      </c>
      <c r="H13" s="22">
        <v>369939</v>
      </c>
      <c r="I13" s="22">
        <v>123157</v>
      </c>
      <c r="J13" s="74">
        <v>572804</v>
      </c>
      <c r="K13" s="72">
        <f t="shared" si="3"/>
        <v>21.50072276031592</v>
      </c>
    </row>
    <row r="14" spans="1:12" s="6" customFormat="1" ht="13.5" customHeight="1" x14ac:dyDescent="0.2">
      <c r="A14" s="19" t="s">
        <v>16</v>
      </c>
      <c r="B14" s="20">
        <v>1576614.4295556056</v>
      </c>
      <c r="C14" s="20">
        <v>882479.92</v>
      </c>
      <c r="D14" s="21">
        <v>193999.61</v>
      </c>
      <c r="E14" s="20">
        <v>47351.519999999997</v>
      </c>
      <c r="F14" s="72">
        <f t="shared" si="1"/>
        <v>24.408049067727507</v>
      </c>
      <c r="G14" s="72">
        <f t="shared" si="2"/>
        <v>5.3657334208805567</v>
      </c>
      <c r="H14" s="54">
        <v>370536</v>
      </c>
      <c r="I14" s="54">
        <v>123908</v>
      </c>
      <c r="J14" s="74">
        <v>573342</v>
      </c>
      <c r="K14" s="72">
        <f t="shared" si="3"/>
        <v>21.611533779140547</v>
      </c>
    </row>
    <row r="15" spans="1:12" s="6" customFormat="1" ht="13.5" customHeight="1" x14ac:dyDescent="0.2">
      <c r="A15" s="19" t="s">
        <v>17</v>
      </c>
      <c r="B15" s="20">
        <v>1571239.3065334242</v>
      </c>
      <c r="C15" s="20">
        <v>882479.92</v>
      </c>
      <c r="D15" s="21">
        <v>195080.69</v>
      </c>
      <c r="E15" s="20">
        <v>47351.519999999997</v>
      </c>
      <c r="F15" s="72">
        <f t="shared" si="1"/>
        <v>24.27278681452275</v>
      </c>
      <c r="G15" s="72">
        <f t="shared" si="2"/>
        <v>5.3657334208805567</v>
      </c>
      <c r="H15" s="22">
        <v>371335</v>
      </c>
      <c r="I15" s="22">
        <v>124521</v>
      </c>
      <c r="J15" s="74">
        <v>573466</v>
      </c>
      <c r="K15" s="72">
        <f t="shared" si="3"/>
        <v>21.713754607945372</v>
      </c>
    </row>
    <row r="16" spans="1:12" s="6" customFormat="1" ht="13.5" customHeight="1" x14ac:dyDescent="0.2">
      <c r="A16" s="19" t="s">
        <v>18</v>
      </c>
      <c r="B16" s="20">
        <v>1576311.6057233703</v>
      </c>
      <c r="C16" s="20">
        <v>882479.92</v>
      </c>
      <c r="D16" s="21">
        <v>196132.46</v>
      </c>
      <c r="E16" s="20">
        <v>47351.519999999997</v>
      </c>
      <c r="F16" s="72">
        <f t="shared" si="1"/>
        <v>24.142622796858817</v>
      </c>
      <c r="G16" s="72">
        <f t="shared" si="2"/>
        <v>5.3657334208805567</v>
      </c>
      <c r="H16" s="54">
        <v>371533</v>
      </c>
      <c r="I16" s="54">
        <v>124546</v>
      </c>
      <c r="J16" s="74">
        <v>573466</v>
      </c>
      <c r="K16" s="72">
        <f t="shared" si="3"/>
        <v>21.718114064303727</v>
      </c>
    </row>
    <row r="17" spans="1:11" s="6" customFormat="1" ht="13.5" customHeight="1" x14ac:dyDescent="0.2">
      <c r="A17" s="19" t="s">
        <v>19</v>
      </c>
      <c r="B17" s="20">
        <v>1562911.6511469453</v>
      </c>
      <c r="C17" s="20">
        <v>882479.92</v>
      </c>
      <c r="D17" s="21">
        <v>196764.48</v>
      </c>
      <c r="E17" s="20">
        <v>47351.519999999997</v>
      </c>
      <c r="F17" s="72">
        <f t="shared" si="1"/>
        <v>24.065075159906907</v>
      </c>
      <c r="G17" s="72">
        <f t="shared" si="2"/>
        <v>5.3657334208805567</v>
      </c>
      <c r="H17" s="22">
        <v>372343</v>
      </c>
      <c r="I17" s="22">
        <v>125396</v>
      </c>
      <c r="J17" s="74">
        <v>571449</v>
      </c>
      <c r="K17" s="72">
        <f t="shared" si="3"/>
        <v>21.943515519320183</v>
      </c>
    </row>
    <row r="18" spans="1:11" s="6" customFormat="1" ht="13.5" customHeight="1" x14ac:dyDescent="0.2">
      <c r="A18" s="19" t="s">
        <v>20</v>
      </c>
      <c r="B18" s="20">
        <v>1556400.9387538799</v>
      </c>
      <c r="C18" s="20">
        <v>882479.92</v>
      </c>
      <c r="D18" s="21">
        <v>198680.33</v>
      </c>
      <c r="E18" s="20">
        <v>47351.519999999997</v>
      </c>
      <c r="F18" s="72">
        <f t="shared" si="1"/>
        <v>23.833018598267881</v>
      </c>
      <c r="G18" s="72">
        <f t="shared" si="2"/>
        <v>5.3657334208805567</v>
      </c>
      <c r="H18" s="22">
        <v>372812</v>
      </c>
      <c r="I18" s="54">
        <v>125952</v>
      </c>
      <c r="J18" s="74">
        <v>571442</v>
      </c>
      <c r="K18" s="72">
        <f t="shared" si="3"/>
        <v>22.041082034572188</v>
      </c>
    </row>
    <row r="19" spans="1:11" s="6" customFormat="1" ht="13.5" customHeight="1" x14ac:dyDescent="0.2">
      <c r="A19" s="19" t="s">
        <v>21</v>
      </c>
      <c r="B19" s="20">
        <v>1547619.0476190476</v>
      </c>
      <c r="C19" s="20">
        <v>882479.92</v>
      </c>
      <c r="D19" s="20">
        <v>200281.75200000001</v>
      </c>
      <c r="E19" s="20">
        <v>47351.519999999997</v>
      </c>
      <c r="F19" s="72">
        <f t="shared" si="1"/>
        <v>23.642453457267536</v>
      </c>
      <c r="G19" s="72">
        <f t="shared" si="2"/>
        <v>5.3657334208805567</v>
      </c>
      <c r="H19" s="22">
        <v>373676</v>
      </c>
      <c r="I19" s="22">
        <v>126464</v>
      </c>
      <c r="J19" s="74">
        <v>576128</v>
      </c>
      <c r="K19" s="72">
        <f t="shared" si="3"/>
        <v>21.950677627193958</v>
      </c>
    </row>
    <row r="20" spans="1:11" s="6" customFormat="1" ht="13.5" customHeight="1" x14ac:dyDescent="0.2">
      <c r="A20" s="19" t="s">
        <v>22</v>
      </c>
      <c r="B20" s="20">
        <v>1553410.5534105534</v>
      </c>
      <c r="C20" s="20">
        <v>882479.92</v>
      </c>
      <c r="D20" s="20">
        <v>200281.75200000001</v>
      </c>
      <c r="E20" s="20">
        <v>56312.89</v>
      </c>
      <c r="F20" s="72">
        <f t="shared" si="1"/>
        <v>28.116835127345997</v>
      </c>
      <c r="G20" s="72">
        <f t="shared" si="2"/>
        <v>6.3812092177689435</v>
      </c>
      <c r="H20" s="22">
        <v>373755</v>
      </c>
      <c r="I20" s="22">
        <v>127027</v>
      </c>
      <c r="J20" s="74">
        <v>576126</v>
      </c>
      <c r="K20" s="72">
        <v>21.950677627193958</v>
      </c>
    </row>
    <row r="21" spans="1:11" s="32" customFormat="1" ht="3" customHeight="1" x14ac:dyDescent="0.2">
      <c r="A21" s="23"/>
      <c r="B21" s="24"/>
      <c r="C21" s="24"/>
      <c r="D21" s="25"/>
      <c r="E21" s="25"/>
      <c r="F21" s="26"/>
      <c r="G21" s="26"/>
      <c r="H21" s="27"/>
      <c r="I21" s="27"/>
      <c r="J21" s="27"/>
      <c r="K21" s="27"/>
    </row>
    <row r="22" spans="1:11" s="32" customFormat="1" ht="3" customHeight="1" x14ac:dyDescent="0.2">
      <c r="A22" s="28"/>
      <c r="B22" s="29"/>
      <c r="C22" s="29"/>
      <c r="D22" s="30"/>
      <c r="E22" s="30"/>
      <c r="F22" s="31"/>
      <c r="G22" s="31"/>
    </row>
    <row r="23" spans="1:11" s="32" customFormat="1" ht="14.25" customHeight="1" x14ac:dyDescent="0.2">
      <c r="A23" s="90" t="s">
        <v>37</v>
      </c>
      <c r="B23" s="90"/>
      <c r="C23" s="90"/>
      <c r="D23" s="90"/>
      <c r="E23" s="90"/>
      <c r="F23" s="90"/>
      <c r="G23" s="90"/>
      <c r="H23" s="90"/>
      <c r="I23" s="90"/>
    </row>
    <row r="24" spans="1:11" s="68" customFormat="1" ht="10.5" customHeight="1" x14ac:dyDescent="0.15">
      <c r="A24" s="90" t="s">
        <v>23</v>
      </c>
      <c r="B24" s="90"/>
      <c r="C24" s="90"/>
      <c r="D24" s="90"/>
      <c r="E24" s="90"/>
      <c r="F24" s="90"/>
      <c r="G24" s="90"/>
      <c r="H24" s="90"/>
      <c r="I24" s="90"/>
    </row>
    <row r="25" spans="1:11" s="68" customFormat="1" ht="10.5" customHeight="1" x14ac:dyDescent="0.15">
      <c r="A25" s="90" t="s">
        <v>53</v>
      </c>
      <c r="B25" s="90"/>
      <c r="C25" s="90"/>
      <c r="D25" s="90"/>
      <c r="E25" s="90"/>
      <c r="F25" s="90"/>
      <c r="G25" s="90"/>
      <c r="H25" s="90"/>
      <c r="I25" s="90"/>
    </row>
    <row r="26" spans="1:11" s="68" customFormat="1" ht="10.5" customHeight="1" x14ac:dyDescent="0.15">
      <c r="A26" s="90" t="s">
        <v>52</v>
      </c>
      <c r="B26" s="90"/>
      <c r="C26" s="90"/>
      <c r="D26" s="90"/>
      <c r="E26" s="90"/>
      <c r="F26" s="90"/>
      <c r="G26" s="90"/>
      <c r="H26" s="90"/>
      <c r="I26" s="90"/>
    </row>
    <row r="27" spans="1:11" s="68" customFormat="1" ht="10.5" customHeight="1" x14ac:dyDescent="0.15">
      <c r="A27" s="90" t="s">
        <v>26</v>
      </c>
      <c r="B27" s="90">
        <f>( 421.71/264.18)*1000000</f>
        <v>1596297.9786509196</v>
      </c>
      <c r="C27" s="90"/>
      <c r="D27" s="90"/>
      <c r="E27" s="90"/>
      <c r="F27" s="90"/>
      <c r="G27" s="90"/>
      <c r="H27" s="90"/>
      <c r="I27" s="90"/>
    </row>
    <row r="28" spans="1:11" s="68" customFormat="1" ht="10.5" customHeight="1" x14ac:dyDescent="0.15">
      <c r="A28" s="90" t="s">
        <v>51</v>
      </c>
      <c r="B28" s="90"/>
      <c r="C28" s="90"/>
      <c r="D28" s="90"/>
      <c r="E28" s="90"/>
      <c r="F28" s="90"/>
      <c r="G28" s="90"/>
      <c r="H28" s="90"/>
      <c r="I28" s="90"/>
    </row>
    <row r="29" spans="1:11" s="68" customFormat="1" ht="10.5" customHeight="1" x14ac:dyDescent="0.15">
      <c r="A29" s="90" t="s">
        <v>50</v>
      </c>
      <c r="B29" s="90"/>
      <c r="C29" s="90"/>
      <c r="D29" s="90"/>
      <c r="E29" s="90"/>
      <c r="F29" s="90"/>
      <c r="G29" s="90"/>
      <c r="H29" s="90"/>
      <c r="I29" s="90"/>
    </row>
    <row r="30" spans="1:11" s="68" customFormat="1" ht="10.5" customHeight="1" x14ac:dyDescent="0.15">
      <c r="A30" s="90" t="s">
        <v>49</v>
      </c>
      <c r="B30" s="90"/>
      <c r="C30" s="90"/>
      <c r="D30" s="90"/>
      <c r="E30" s="90"/>
      <c r="F30" s="90"/>
      <c r="G30" s="90"/>
      <c r="H30" s="90"/>
      <c r="I30" s="90"/>
    </row>
    <row r="31" spans="1:11" s="68" customFormat="1" ht="10.5" customHeight="1" x14ac:dyDescent="0.15">
      <c r="A31" s="90" t="s">
        <v>29</v>
      </c>
      <c r="B31" s="90"/>
      <c r="C31" s="90"/>
      <c r="D31" s="90"/>
      <c r="E31" s="90"/>
      <c r="F31" s="90"/>
      <c r="G31" s="90"/>
      <c r="H31" s="90"/>
      <c r="I31" s="90"/>
    </row>
  </sheetData>
  <mergeCells count="12">
    <mergeCell ref="A31:I31"/>
    <mergeCell ref="A1:K1"/>
    <mergeCell ref="A2:K2"/>
    <mergeCell ref="A4:A5"/>
    <mergeCell ref="A23:I23"/>
    <mergeCell ref="A24:I24"/>
    <mergeCell ref="A25:I25"/>
    <mergeCell ref="A26:I26"/>
    <mergeCell ref="A27:I27"/>
    <mergeCell ref="A28:I28"/>
    <mergeCell ref="A29:I29"/>
    <mergeCell ref="A30:I30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22059B-1420-4CCD-9DF2-60D8B8CCCB50}">
  <dimension ref="A1:K31"/>
  <sheetViews>
    <sheetView workbookViewId="0">
      <selection activeCell="L9" sqref="L9"/>
    </sheetView>
  </sheetViews>
  <sheetFormatPr baseColWidth="10" defaultRowHeight="15" x14ac:dyDescent="0.25"/>
  <cols>
    <col min="1" max="1" width="11.42578125" style="1"/>
    <col min="2" max="11" width="15.5703125" style="1" customWidth="1"/>
    <col min="12" max="16384" width="11.42578125" style="1"/>
  </cols>
  <sheetData>
    <row r="1" spans="1:11" x14ac:dyDescent="0.25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x14ac:dyDescent="0.25">
      <c r="A2" s="81" t="s">
        <v>57</v>
      </c>
      <c r="B2" s="81"/>
      <c r="C2" s="81"/>
      <c r="D2" s="81"/>
      <c r="E2" s="81"/>
      <c r="F2" s="81"/>
      <c r="G2" s="81"/>
      <c r="H2" s="81"/>
      <c r="I2" s="81"/>
      <c r="J2" s="81"/>
      <c r="K2" s="81"/>
    </row>
    <row r="3" spans="1:11" x14ac:dyDescent="0.25">
      <c r="A3" s="2"/>
      <c r="B3" s="3"/>
      <c r="C3" s="3"/>
      <c r="D3" s="4"/>
      <c r="E3" s="4"/>
      <c r="F3" s="5"/>
      <c r="G3" s="5"/>
      <c r="H3" s="6"/>
      <c r="I3" s="6"/>
      <c r="J3" s="6"/>
      <c r="K3" s="6"/>
    </row>
    <row r="4" spans="1:11" ht="72" customHeight="1" x14ac:dyDescent="0.25">
      <c r="A4" s="82" t="s">
        <v>1</v>
      </c>
      <c r="B4" s="7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7" t="s">
        <v>43</v>
      </c>
      <c r="H4" s="7" t="s">
        <v>44</v>
      </c>
      <c r="I4" s="7" t="s">
        <v>45</v>
      </c>
      <c r="J4" s="8" t="s">
        <v>46</v>
      </c>
      <c r="K4" s="8" t="s">
        <v>47</v>
      </c>
    </row>
    <row r="5" spans="1:11" x14ac:dyDescent="0.25">
      <c r="A5" s="83"/>
      <c r="B5" s="8" t="s">
        <v>9</v>
      </c>
      <c r="C5" s="8" t="s">
        <v>9</v>
      </c>
      <c r="D5" s="8" t="s">
        <v>9</v>
      </c>
      <c r="E5" s="8" t="s">
        <v>9</v>
      </c>
      <c r="F5" s="8" t="s">
        <v>10</v>
      </c>
      <c r="G5" s="8" t="s">
        <v>10</v>
      </c>
      <c r="H5" s="8"/>
      <c r="I5" s="8"/>
      <c r="J5" s="69"/>
      <c r="K5" s="8" t="s">
        <v>10</v>
      </c>
    </row>
    <row r="6" spans="1:11" ht="3" customHeight="1" x14ac:dyDescent="0.25">
      <c r="A6" s="2"/>
      <c r="B6" s="3"/>
      <c r="C6" s="3"/>
      <c r="D6" s="9"/>
      <c r="E6" s="9"/>
      <c r="F6" s="10"/>
      <c r="G6" s="10"/>
      <c r="H6" s="6"/>
      <c r="I6" s="6"/>
      <c r="J6" s="6"/>
      <c r="K6" s="6"/>
    </row>
    <row r="7" spans="1:11" ht="16.5" customHeight="1" x14ac:dyDescent="0.25">
      <c r="A7" s="75" t="s">
        <v>56</v>
      </c>
      <c r="B7" s="12">
        <f>AVERAGE(B9:B20)</f>
        <v>1566977.0926388574</v>
      </c>
      <c r="C7" s="12">
        <f>AVERAGE(C9:C20)</f>
        <v>879979.18833333335</v>
      </c>
      <c r="D7" s="12">
        <f t="shared" ref="D7:K7" si="0">AVERAGE(D9:D20)</f>
        <v>216021.35750000001</v>
      </c>
      <c r="E7" s="12">
        <f t="shared" si="0"/>
        <v>55960.442500000005</v>
      </c>
      <c r="F7" s="70">
        <f t="shared" si="0"/>
        <v>25.9375</v>
      </c>
      <c r="G7" s="70">
        <f t="shared" si="0"/>
        <v>6.3446666666666678</v>
      </c>
      <c r="H7" s="13">
        <f t="shared" si="0"/>
        <v>378007.41666666669</v>
      </c>
      <c r="I7" s="13">
        <f t="shared" si="0"/>
        <v>134756.75</v>
      </c>
      <c r="J7" s="71">
        <f t="shared" si="0"/>
        <v>593738.33333333337</v>
      </c>
      <c r="K7" s="70">
        <f t="shared" si="0"/>
        <v>22.697316832220508</v>
      </c>
    </row>
    <row r="8" spans="1:11" ht="3" customHeight="1" x14ac:dyDescent="0.25">
      <c r="A8" s="14"/>
      <c r="B8" s="15"/>
      <c r="C8" s="15"/>
      <c r="D8" s="16"/>
      <c r="E8" s="16"/>
      <c r="F8" s="72"/>
      <c r="G8" s="72"/>
      <c r="H8" s="18"/>
      <c r="I8" s="18"/>
      <c r="J8" s="73"/>
      <c r="K8" s="72"/>
    </row>
    <row r="9" spans="1:11" x14ac:dyDescent="0.25">
      <c r="A9" s="19" t="s">
        <v>11</v>
      </c>
      <c r="B9" s="52">
        <v>1537815.1260504201</v>
      </c>
      <c r="C9" s="20">
        <v>884685.22</v>
      </c>
      <c r="D9" s="21">
        <v>205474.1</v>
      </c>
      <c r="E9" s="20">
        <v>56312.89</v>
      </c>
      <c r="F9" s="72">
        <v>27.61</v>
      </c>
      <c r="G9" s="72">
        <v>6.37</v>
      </c>
      <c r="H9" s="22">
        <v>374500</v>
      </c>
      <c r="I9" s="22">
        <v>127877</v>
      </c>
      <c r="J9" s="74">
        <v>577801</v>
      </c>
      <c r="K9" s="72">
        <f>I9/J9*100</f>
        <v>22.131668169490879</v>
      </c>
    </row>
    <row r="10" spans="1:11" x14ac:dyDescent="0.25">
      <c r="A10" s="19" t="s">
        <v>12</v>
      </c>
      <c r="B10" s="52">
        <v>1524683.9276251039</v>
      </c>
      <c r="C10" s="20">
        <v>886987.26</v>
      </c>
      <c r="D10" s="21">
        <v>205474.1</v>
      </c>
      <c r="E10" s="20">
        <v>56312.89</v>
      </c>
      <c r="F10" s="72">
        <v>27.41</v>
      </c>
      <c r="G10" s="72">
        <v>6.35</v>
      </c>
      <c r="H10" s="22">
        <v>375737</v>
      </c>
      <c r="I10" s="22">
        <v>128760</v>
      </c>
      <c r="J10" s="74">
        <v>578370</v>
      </c>
      <c r="K10" s="72">
        <f t="shared" ref="K10:K20" si="1">I10/J10*100</f>
        <v>22.262565485761709</v>
      </c>
    </row>
    <row r="11" spans="1:11" x14ac:dyDescent="0.25">
      <c r="A11" s="19" t="s">
        <v>13</v>
      </c>
      <c r="B11" s="52">
        <v>1557498.6751457341</v>
      </c>
      <c r="C11" s="20">
        <v>881219.16</v>
      </c>
      <c r="D11" s="21">
        <v>207498.36</v>
      </c>
      <c r="E11" s="20">
        <v>52083.519999999997</v>
      </c>
      <c r="F11" s="72">
        <v>25</v>
      </c>
      <c r="G11" s="72">
        <v>6</v>
      </c>
      <c r="H11" s="22">
        <v>376124</v>
      </c>
      <c r="I11" s="22">
        <v>129860</v>
      </c>
      <c r="J11" s="74">
        <v>578614</v>
      </c>
      <c r="K11" s="72">
        <f t="shared" si="1"/>
        <v>22.44328688901409</v>
      </c>
    </row>
    <row r="12" spans="1:11" x14ac:dyDescent="0.25">
      <c r="A12" s="19" t="s">
        <v>14</v>
      </c>
      <c r="B12" s="52">
        <v>1554319.0249072602</v>
      </c>
      <c r="C12" s="20">
        <v>871089.68</v>
      </c>
      <c r="D12" s="21">
        <v>210909.6</v>
      </c>
      <c r="E12" s="20">
        <v>56312.89</v>
      </c>
      <c r="F12" s="72">
        <v>26.7</v>
      </c>
      <c r="G12" s="72">
        <v>6.19</v>
      </c>
      <c r="H12" s="22">
        <v>376579</v>
      </c>
      <c r="I12" s="22">
        <v>131923</v>
      </c>
      <c r="J12" s="74">
        <v>577524</v>
      </c>
      <c r="K12" s="72">
        <f t="shared" si="1"/>
        <v>22.842860210138451</v>
      </c>
    </row>
    <row r="13" spans="1:11" x14ac:dyDescent="0.25">
      <c r="A13" s="19" t="s">
        <v>15</v>
      </c>
      <c r="B13" s="20">
        <v>1540616.2464985994</v>
      </c>
      <c r="C13" s="20">
        <v>872215</v>
      </c>
      <c r="D13" s="21">
        <v>214460.14</v>
      </c>
      <c r="E13" s="20">
        <v>56312.89</v>
      </c>
      <c r="F13" s="72">
        <v>26.26</v>
      </c>
      <c r="G13" s="72">
        <v>6.46</v>
      </c>
      <c r="H13" s="22">
        <v>377006</v>
      </c>
      <c r="I13" s="22">
        <v>134236</v>
      </c>
      <c r="J13" s="74">
        <v>577870</v>
      </c>
      <c r="K13" s="72">
        <f t="shared" si="1"/>
        <v>23.229446069185112</v>
      </c>
    </row>
    <row r="14" spans="1:11" x14ac:dyDescent="0.25">
      <c r="A14" s="19" t="s">
        <v>16</v>
      </c>
      <c r="B14" s="20">
        <v>1565296.3888258005</v>
      </c>
      <c r="C14" s="20">
        <v>899880.3</v>
      </c>
      <c r="D14" s="21">
        <v>215971.27</v>
      </c>
      <c r="E14" s="20">
        <v>56312.89</v>
      </c>
      <c r="F14" s="72">
        <v>26.07</v>
      </c>
      <c r="G14" s="72">
        <v>6.26</v>
      </c>
      <c r="H14" s="54">
        <v>377730</v>
      </c>
      <c r="I14" s="54">
        <v>135435</v>
      </c>
      <c r="J14" s="74">
        <v>588222</v>
      </c>
      <c r="K14" s="72">
        <f t="shared" si="1"/>
        <v>23.024470353029976</v>
      </c>
    </row>
    <row r="15" spans="1:11" x14ac:dyDescent="0.25">
      <c r="A15" s="19" t="s">
        <v>17</v>
      </c>
      <c r="B15" s="20">
        <v>1570595.8058899236</v>
      </c>
      <c r="C15" s="20">
        <v>874465.64</v>
      </c>
      <c r="D15" s="21">
        <v>217945.73</v>
      </c>
      <c r="E15" s="20">
        <v>56312.89</v>
      </c>
      <c r="F15" s="72">
        <v>25.84</v>
      </c>
      <c r="G15" s="72">
        <v>6.44</v>
      </c>
      <c r="H15" s="22">
        <v>378181</v>
      </c>
      <c r="I15" s="22">
        <v>136278</v>
      </c>
      <c r="J15" s="74">
        <v>592351</v>
      </c>
      <c r="K15" s="72">
        <f t="shared" si="1"/>
        <v>23.006291877619859</v>
      </c>
    </row>
    <row r="16" spans="1:11" x14ac:dyDescent="0.25">
      <c r="A16" s="19" t="s">
        <v>18</v>
      </c>
      <c r="B16" s="20">
        <v>1564781.588311</v>
      </c>
      <c r="C16" s="20">
        <v>875590.96</v>
      </c>
      <c r="D16" s="21">
        <v>218218.97</v>
      </c>
      <c r="E16" s="20">
        <v>56312.89</v>
      </c>
      <c r="F16" s="72">
        <v>25.81</v>
      </c>
      <c r="G16" s="72">
        <v>6.43</v>
      </c>
      <c r="H16" s="54">
        <v>379073</v>
      </c>
      <c r="I16" s="54">
        <v>136159</v>
      </c>
      <c r="J16" s="74">
        <v>605047</v>
      </c>
      <c r="K16" s="72">
        <f t="shared" si="1"/>
        <v>22.503871600057515</v>
      </c>
    </row>
    <row r="17" spans="1:11" x14ac:dyDescent="0.25">
      <c r="A17" s="19" t="s">
        <v>19</v>
      </c>
      <c r="B17" s="20">
        <v>1571731.3952608069</v>
      </c>
      <c r="C17" s="20">
        <v>876716.28</v>
      </c>
      <c r="D17" s="21">
        <v>218547.65</v>
      </c>
      <c r="E17" s="20">
        <v>56312.89</v>
      </c>
      <c r="F17" s="72">
        <v>25.77</v>
      </c>
      <c r="G17" s="72">
        <v>6.42</v>
      </c>
      <c r="H17" s="22">
        <v>379423</v>
      </c>
      <c r="I17" s="22">
        <v>137409</v>
      </c>
      <c r="J17" s="74">
        <v>625254</v>
      </c>
      <c r="K17" s="72">
        <f t="shared" si="1"/>
        <v>21.976508746845283</v>
      </c>
    </row>
    <row r="18" spans="1:11" x14ac:dyDescent="0.25">
      <c r="A18" s="19" t="s">
        <v>20</v>
      </c>
      <c r="B18" s="20">
        <v>1601029.6010296009</v>
      </c>
      <c r="C18" s="20">
        <v>877841.6</v>
      </c>
      <c r="D18" s="21">
        <v>224438.54</v>
      </c>
      <c r="E18" s="20">
        <v>56312.89</v>
      </c>
      <c r="F18" s="72">
        <v>25.09</v>
      </c>
      <c r="G18" s="72">
        <v>6.41</v>
      </c>
      <c r="H18" s="22">
        <v>380171</v>
      </c>
      <c r="I18" s="54">
        <v>139086</v>
      </c>
      <c r="J18" s="74">
        <v>610660</v>
      </c>
      <c r="K18" s="72">
        <f t="shared" si="1"/>
        <v>22.776340353060622</v>
      </c>
    </row>
    <row r="19" spans="1:11" x14ac:dyDescent="0.25">
      <c r="A19" s="19" t="s">
        <v>21</v>
      </c>
      <c r="B19" s="20">
        <v>1613645.9989401167</v>
      </c>
      <c r="C19" s="20">
        <v>878966.92</v>
      </c>
      <c r="D19" s="20">
        <v>226335.38</v>
      </c>
      <c r="E19" s="20">
        <v>56312.89</v>
      </c>
      <c r="F19" s="72">
        <v>24.88</v>
      </c>
      <c r="G19" s="72">
        <v>6.4059999999999997</v>
      </c>
      <c r="H19" s="22">
        <v>380678</v>
      </c>
      <c r="I19" s="22">
        <v>139858</v>
      </c>
      <c r="J19" s="74">
        <v>605889</v>
      </c>
      <c r="K19" s="72">
        <f t="shared" si="1"/>
        <v>23.083105981458647</v>
      </c>
    </row>
    <row r="20" spans="1:11" x14ac:dyDescent="0.25">
      <c r="A20" s="19" t="s">
        <v>22</v>
      </c>
      <c r="B20" s="20">
        <v>1601711.33318192</v>
      </c>
      <c r="C20" s="20">
        <v>880092.24</v>
      </c>
      <c r="D20" s="20">
        <v>226982.45</v>
      </c>
      <c r="E20" s="20">
        <v>56312.89</v>
      </c>
      <c r="F20" s="72">
        <v>24.81</v>
      </c>
      <c r="G20" s="72">
        <v>6.4</v>
      </c>
      <c r="H20" s="22">
        <v>380887</v>
      </c>
      <c r="I20" s="22">
        <v>140200</v>
      </c>
      <c r="J20" s="74">
        <v>607258</v>
      </c>
      <c r="K20" s="72">
        <f t="shared" si="1"/>
        <v>23.087386250983933</v>
      </c>
    </row>
    <row r="21" spans="1:11" ht="3" customHeight="1" x14ac:dyDescent="0.25">
      <c r="A21" s="23"/>
      <c r="B21" s="24"/>
      <c r="C21" s="24"/>
      <c r="D21" s="25"/>
      <c r="E21" s="25"/>
      <c r="F21" s="26"/>
      <c r="G21" s="26"/>
      <c r="H21" s="27"/>
      <c r="I21" s="27"/>
      <c r="J21" s="27"/>
      <c r="K21" s="27"/>
    </row>
    <row r="22" spans="1:11" ht="3" customHeight="1" x14ac:dyDescent="0.25">
      <c r="A22" s="28"/>
      <c r="B22" s="29"/>
      <c r="C22" s="29"/>
      <c r="D22" s="30"/>
      <c r="E22" s="30"/>
      <c r="F22" s="31"/>
      <c r="G22" s="31"/>
      <c r="H22" s="32"/>
      <c r="I22" s="32"/>
      <c r="J22" s="32"/>
      <c r="K22" s="32"/>
    </row>
    <row r="23" spans="1:11" ht="11.25" customHeight="1" x14ac:dyDescent="0.25">
      <c r="A23" s="90" t="s">
        <v>37</v>
      </c>
      <c r="B23" s="90"/>
      <c r="C23" s="90"/>
      <c r="D23" s="90"/>
      <c r="E23" s="90"/>
      <c r="F23" s="90"/>
      <c r="G23" s="90"/>
      <c r="H23" s="90"/>
      <c r="I23" s="90"/>
      <c r="J23" s="32"/>
      <c r="K23" s="32"/>
    </row>
    <row r="24" spans="1:11" ht="11.25" customHeight="1" x14ac:dyDescent="0.25">
      <c r="A24" s="90" t="s">
        <v>23</v>
      </c>
      <c r="B24" s="90"/>
      <c r="C24" s="90"/>
      <c r="D24" s="90"/>
      <c r="E24" s="90"/>
      <c r="F24" s="90"/>
      <c r="G24" s="90"/>
      <c r="H24" s="90"/>
      <c r="I24" s="90"/>
      <c r="J24" s="68"/>
      <c r="K24" s="68"/>
    </row>
    <row r="25" spans="1:11" ht="11.25" customHeight="1" x14ac:dyDescent="0.25">
      <c r="A25" s="90" t="s">
        <v>53</v>
      </c>
      <c r="B25" s="90"/>
      <c r="C25" s="90"/>
      <c r="D25" s="90"/>
      <c r="E25" s="90"/>
      <c r="F25" s="90"/>
      <c r="G25" s="90"/>
      <c r="H25" s="90"/>
      <c r="I25" s="90"/>
      <c r="J25" s="68"/>
      <c r="K25" s="68"/>
    </row>
    <row r="26" spans="1:11" ht="11.25" customHeight="1" x14ac:dyDescent="0.25">
      <c r="A26" s="90" t="s">
        <v>52</v>
      </c>
      <c r="B26" s="90"/>
      <c r="C26" s="90"/>
      <c r="D26" s="90"/>
      <c r="E26" s="90"/>
      <c r="F26" s="90"/>
      <c r="G26" s="90"/>
      <c r="H26" s="90"/>
      <c r="I26" s="90"/>
      <c r="J26" s="68"/>
      <c r="K26" s="68"/>
    </row>
    <row r="27" spans="1:11" ht="11.25" customHeight="1" x14ac:dyDescent="0.25">
      <c r="A27" s="90" t="s">
        <v>26</v>
      </c>
      <c r="B27" s="90">
        <f>( 421.71/264.18)*1000000</f>
        <v>1596297.9786509196</v>
      </c>
      <c r="C27" s="90"/>
      <c r="D27" s="90"/>
      <c r="E27" s="90"/>
      <c r="F27" s="90"/>
      <c r="G27" s="90"/>
      <c r="H27" s="90"/>
      <c r="I27" s="90"/>
      <c r="J27" s="68"/>
      <c r="K27" s="68"/>
    </row>
    <row r="28" spans="1:11" ht="11.25" customHeight="1" x14ac:dyDescent="0.25">
      <c r="A28" s="90" t="s">
        <v>58</v>
      </c>
      <c r="B28" s="90"/>
      <c r="C28" s="90"/>
      <c r="D28" s="90"/>
      <c r="E28" s="90"/>
      <c r="F28" s="90"/>
      <c r="G28" s="90"/>
      <c r="H28" s="90"/>
      <c r="I28" s="90"/>
      <c r="J28" s="68"/>
      <c r="K28" s="68"/>
    </row>
    <row r="29" spans="1:11" ht="11.25" customHeight="1" x14ac:dyDescent="0.25">
      <c r="A29" s="90" t="s">
        <v>50</v>
      </c>
      <c r="B29" s="90"/>
      <c r="C29" s="90"/>
      <c r="D29" s="90"/>
      <c r="E29" s="90"/>
      <c r="F29" s="90"/>
      <c r="G29" s="90"/>
      <c r="H29" s="90"/>
      <c r="I29" s="90"/>
      <c r="J29" s="68"/>
      <c r="K29" s="68"/>
    </row>
    <row r="30" spans="1:11" ht="11.25" customHeight="1" x14ac:dyDescent="0.25">
      <c r="A30" s="90" t="s">
        <v>49</v>
      </c>
      <c r="B30" s="90"/>
      <c r="C30" s="90"/>
      <c r="D30" s="90"/>
      <c r="E30" s="90"/>
      <c r="F30" s="90"/>
      <c r="G30" s="90"/>
      <c r="H30" s="90"/>
      <c r="I30" s="90"/>
      <c r="J30" s="68"/>
      <c r="K30" s="68"/>
    </row>
    <row r="31" spans="1:11" ht="11.25" customHeight="1" x14ac:dyDescent="0.25">
      <c r="A31" s="90" t="s">
        <v>29</v>
      </c>
      <c r="B31" s="90"/>
      <c r="C31" s="90"/>
      <c r="D31" s="90"/>
      <c r="E31" s="90"/>
      <c r="F31" s="90"/>
      <c r="G31" s="90"/>
      <c r="H31" s="90"/>
      <c r="I31" s="90"/>
      <c r="J31" s="68"/>
      <c r="K31" s="68"/>
    </row>
  </sheetData>
  <mergeCells count="12">
    <mergeCell ref="A31:I31"/>
    <mergeCell ref="A1:K1"/>
    <mergeCell ref="A2:K2"/>
    <mergeCell ref="A4:A5"/>
    <mergeCell ref="A23:I23"/>
    <mergeCell ref="A24:I24"/>
    <mergeCell ref="A25:I25"/>
    <mergeCell ref="A26:I26"/>
    <mergeCell ref="A27:I27"/>
    <mergeCell ref="A28:I28"/>
    <mergeCell ref="A29:I29"/>
    <mergeCell ref="A30:I30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A0C0F1-C07D-4C75-A6E4-F3E21E3080A5}">
  <dimension ref="A1:K31"/>
  <sheetViews>
    <sheetView workbookViewId="0">
      <selection activeCell="M4" sqref="M4"/>
    </sheetView>
  </sheetViews>
  <sheetFormatPr baseColWidth="10" defaultRowHeight="15" x14ac:dyDescent="0.25"/>
  <cols>
    <col min="1" max="1" width="12.85546875" style="1" customWidth="1"/>
    <col min="2" max="11" width="13.42578125" style="1" customWidth="1"/>
    <col min="12" max="16384" width="11.42578125" style="1"/>
  </cols>
  <sheetData>
    <row r="1" spans="1:11" x14ac:dyDescent="0.25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x14ac:dyDescent="0.25">
      <c r="A2" s="81" t="s">
        <v>60</v>
      </c>
      <c r="B2" s="81"/>
      <c r="C2" s="81"/>
      <c r="D2" s="81"/>
      <c r="E2" s="81"/>
      <c r="F2" s="81"/>
      <c r="G2" s="81"/>
      <c r="H2" s="81"/>
      <c r="I2" s="81"/>
      <c r="J2" s="81"/>
      <c r="K2" s="81"/>
    </row>
    <row r="3" spans="1:11" x14ac:dyDescent="0.25">
      <c r="A3" s="2"/>
      <c r="B3" s="3"/>
      <c r="C3" s="3"/>
      <c r="D3" s="4"/>
      <c r="E3" s="4"/>
      <c r="F3" s="5"/>
      <c r="G3" s="5"/>
      <c r="H3" s="6"/>
      <c r="I3" s="6"/>
      <c r="J3" s="6"/>
      <c r="K3" s="6"/>
    </row>
    <row r="4" spans="1:11" ht="78.75" x14ac:dyDescent="0.25">
      <c r="A4" s="82" t="s">
        <v>1</v>
      </c>
      <c r="B4" s="7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7" t="s">
        <v>43</v>
      </c>
      <c r="H4" s="7" t="s">
        <v>44</v>
      </c>
      <c r="I4" s="7" t="s">
        <v>61</v>
      </c>
      <c r="J4" s="8" t="s">
        <v>46</v>
      </c>
      <c r="K4" s="8" t="s">
        <v>47</v>
      </c>
    </row>
    <row r="5" spans="1:11" x14ac:dyDescent="0.25">
      <c r="A5" s="83"/>
      <c r="B5" s="8" t="s">
        <v>9</v>
      </c>
      <c r="C5" s="8" t="s">
        <v>9</v>
      </c>
      <c r="D5" s="8" t="s">
        <v>9</v>
      </c>
      <c r="E5" s="8" t="s">
        <v>9</v>
      </c>
      <c r="F5" s="8" t="s">
        <v>10</v>
      </c>
      <c r="G5" s="8" t="s">
        <v>10</v>
      </c>
      <c r="H5" s="8"/>
      <c r="I5" s="8"/>
      <c r="J5" s="69"/>
      <c r="K5" s="8" t="s">
        <v>10</v>
      </c>
    </row>
    <row r="6" spans="1:11" ht="3" customHeight="1" x14ac:dyDescent="0.25">
      <c r="A6" s="2"/>
      <c r="B6" s="3"/>
      <c r="C6" s="3"/>
      <c r="D6" s="9"/>
      <c r="E6" s="9"/>
      <c r="F6" s="10"/>
      <c r="G6" s="10"/>
      <c r="H6" s="6"/>
      <c r="I6" s="6"/>
      <c r="J6" s="6"/>
      <c r="K6" s="6"/>
    </row>
    <row r="7" spans="1:11" ht="17.25" customHeight="1" x14ac:dyDescent="0.25">
      <c r="A7" s="75" t="s">
        <v>62</v>
      </c>
      <c r="B7" s="12">
        <f>AVERAGE(B9:B20)</f>
        <v>1423072.599910835</v>
      </c>
      <c r="C7" s="12">
        <f t="shared" ref="C7:K7" si="0">AVERAGE(C9:C20)</f>
        <v>887065.18666666641</v>
      </c>
      <c r="D7" s="12">
        <f>AVERAGE(D9:D20)</f>
        <v>231283.99916666668</v>
      </c>
      <c r="E7" s="12">
        <f t="shared" si="0"/>
        <v>56312.890000000007</v>
      </c>
      <c r="F7" s="70">
        <f t="shared" si="0"/>
        <v>24.388500000000004</v>
      </c>
      <c r="G7" s="70">
        <f t="shared" si="0"/>
        <v>6.3482500000000002</v>
      </c>
      <c r="H7" s="13">
        <f t="shared" si="0"/>
        <v>406146.58333333331</v>
      </c>
      <c r="I7" s="13">
        <f t="shared" si="0"/>
        <v>142551.16666666666</v>
      </c>
      <c r="J7" s="71">
        <f t="shared" si="0"/>
        <v>633729.25</v>
      </c>
      <c r="K7" s="70">
        <f t="shared" si="0"/>
        <v>22.608750000000001</v>
      </c>
    </row>
    <row r="8" spans="1:11" ht="3" customHeight="1" x14ac:dyDescent="0.25">
      <c r="A8" s="14"/>
      <c r="B8" s="15"/>
      <c r="C8" s="15"/>
      <c r="D8" s="16"/>
      <c r="E8" s="16"/>
      <c r="F8" s="72"/>
      <c r="G8" s="72"/>
      <c r="H8" s="18"/>
      <c r="I8" s="18"/>
      <c r="J8" s="73"/>
      <c r="K8" s="72"/>
    </row>
    <row r="9" spans="1:11" x14ac:dyDescent="0.25">
      <c r="A9" s="19" t="s">
        <v>11</v>
      </c>
      <c r="B9" s="52">
        <v>1556552.3506699977</v>
      </c>
      <c r="C9" s="20">
        <v>881044.92</v>
      </c>
      <c r="D9" s="20">
        <v>227559.82</v>
      </c>
      <c r="E9" s="20">
        <v>56312.89</v>
      </c>
      <c r="F9" s="72">
        <v>24.74</v>
      </c>
      <c r="G9" s="72">
        <v>6.39</v>
      </c>
      <c r="H9" s="22">
        <v>381420</v>
      </c>
      <c r="I9" s="22">
        <v>140465</v>
      </c>
      <c r="J9" s="74">
        <v>616249</v>
      </c>
      <c r="K9" s="72">
        <v>22.79</v>
      </c>
    </row>
    <row r="10" spans="1:11" x14ac:dyDescent="0.25">
      <c r="A10" s="19" t="s">
        <v>12</v>
      </c>
      <c r="B10" s="52">
        <v>1460114.3159966688</v>
      </c>
      <c r="C10" s="20">
        <v>881997.6</v>
      </c>
      <c r="D10" s="20">
        <v>228240.94</v>
      </c>
      <c r="E10" s="20">
        <v>56312.89</v>
      </c>
      <c r="F10" s="72">
        <v>24.6</v>
      </c>
      <c r="G10" s="72">
        <v>6.38</v>
      </c>
      <c r="H10" s="22">
        <v>381938</v>
      </c>
      <c r="I10" s="22">
        <v>140646</v>
      </c>
      <c r="J10" s="74">
        <v>618230</v>
      </c>
      <c r="K10" s="72">
        <v>22.75</v>
      </c>
    </row>
    <row r="11" spans="1:11" x14ac:dyDescent="0.25">
      <c r="A11" s="19" t="s">
        <v>13</v>
      </c>
      <c r="B11" s="52">
        <v>1435532.5914149445</v>
      </c>
      <c r="C11" s="20">
        <v>882950.28</v>
      </c>
      <c r="D11" s="20">
        <v>228933.94</v>
      </c>
      <c r="E11" s="20">
        <v>56312.89</v>
      </c>
      <c r="F11" s="72">
        <v>24.67</v>
      </c>
      <c r="G11" s="72">
        <v>6.3840000000000003</v>
      </c>
      <c r="H11" s="22">
        <v>382572</v>
      </c>
      <c r="I11" s="22">
        <v>141116</v>
      </c>
      <c r="J11" s="74">
        <v>621203</v>
      </c>
      <c r="K11" s="72">
        <v>22.72</v>
      </c>
    </row>
    <row r="12" spans="1:11" x14ac:dyDescent="0.25">
      <c r="A12" s="19" t="s">
        <v>14</v>
      </c>
      <c r="B12" s="52">
        <v>1484109.319403437</v>
      </c>
      <c r="C12" s="20">
        <v>883902.96</v>
      </c>
      <c r="D12" s="21">
        <v>229412.3</v>
      </c>
      <c r="E12" s="20">
        <v>56312.89</v>
      </c>
      <c r="F12" s="72">
        <v>24.597999999999999</v>
      </c>
      <c r="G12" s="72">
        <v>6.37</v>
      </c>
      <c r="H12" s="22">
        <v>383063</v>
      </c>
      <c r="I12" s="22">
        <v>140994</v>
      </c>
      <c r="J12" s="74">
        <v>622230</v>
      </c>
      <c r="K12" s="72">
        <v>22.725000000000001</v>
      </c>
    </row>
    <row r="13" spans="1:11" x14ac:dyDescent="0.25">
      <c r="A13" s="19" t="s">
        <v>15</v>
      </c>
      <c r="B13" s="20">
        <v>1459323.1887349533</v>
      </c>
      <c r="C13" s="20">
        <v>885544.34</v>
      </c>
      <c r="D13" s="21">
        <v>230116.39</v>
      </c>
      <c r="E13" s="20">
        <v>56312.89</v>
      </c>
      <c r="F13" s="72">
        <v>24.471</v>
      </c>
      <c r="G13" s="72">
        <v>6.36</v>
      </c>
      <c r="H13" s="22">
        <v>384367</v>
      </c>
      <c r="I13" s="22">
        <v>142081</v>
      </c>
      <c r="J13" s="74">
        <v>622995</v>
      </c>
      <c r="K13" s="72">
        <v>22.81</v>
      </c>
    </row>
    <row r="14" spans="1:11" x14ac:dyDescent="0.25">
      <c r="A14" s="19" t="s">
        <v>16</v>
      </c>
      <c r="B14" s="20">
        <v>1424210.7653872359</v>
      </c>
      <c r="C14" s="20">
        <v>886634.76</v>
      </c>
      <c r="D14" s="21">
        <v>231156.29</v>
      </c>
      <c r="E14" s="20">
        <v>56312.89</v>
      </c>
      <c r="F14" s="72">
        <v>24.36</v>
      </c>
      <c r="G14" s="72">
        <v>6.35</v>
      </c>
      <c r="H14" s="54">
        <v>385032</v>
      </c>
      <c r="I14" s="54">
        <v>142475</v>
      </c>
      <c r="J14" s="74">
        <v>626006</v>
      </c>
      <c r="K14" s="72">
        <v>22.76</v>
      </c>
    </row>
    <row r="15" spans="1:11" x14ac:dyDescent="0.25">
      <c r="A15" s="19" t="s">
        <v>17</v>
      </c>
      <c r="B15" s="20">
        <v>1419467.7871148461</v>
      </c>
      <c r="C15" s="20">
        <v>887725.18</v>
      </c>
      <c r="D15" s="21">
        <v>231915.02</v>
      </c>
      <c r="E15" s="20">
        <v>56312.89</v>
      </c>
      <c r="F15" s="72">
        <v>24.8</v>
      </c>
      <c r="G15" s="72">
        <v>6.34</v>
      </c>
      <c r="H15" s="22">
        <v>386008</v>
      </c>
      <c r="I15" s="22">
        <v>143317</v>
      </c>
      <c r="J15" s="74">
        <v>635483</v>
      </c>
      <c r="K15" s="72">
        <v>22.55</v>
      </c>
    </row>
    <row r="16" spans="1:11" x14ac:dyDescent="0.25">
      <c r="A16" s="19" t="s">
        <v>18</v>
      </c>
      <c r="B16" s="20">
        <v>1352047.8461654931</v>
      </c>
      <c r="C16" s="20">
        <v>888815.6</v>
      </c>
      <c r="D16" s="21">
        <v>232459.13</v>
      </c>
      <c r="E16" s="20">
        <v>56312.89</v>
      </c>
      <c r="F16" s="72">
        <v>24.22</v>
      </c>
      <c r="G16" s="72">
        <v>6.34</v>
      </c>
      <c r="H16" s="54">
        <v>512757</v>
      </c>
      <c r="I16" s="54">
        <v>143007</v>
      </c>
      <c r="J16" s="74">
        <v>639775</v>
      </c>
      <c r="K16" s="72">
        <v>22.42</v>
      </c>
    </row>
    <row r="17" spans="1:11" x14ac:dyDescent="0.25">
      <c r="A17" s="19" t="s">
        <v>19</v>
      </c>
      <c r="B17" s="20">
        <v>1317707.6235899765</v>
      </c>
      <c r="C17" s="20">
        <v>889906.02</v>
      </c>
      <c r="D17" s="21">
        <v>232569.22</v>
      </c>
      <c r="E17" s="20">
        <v>56312.89</v>
      </c>
      <c r="F17" s="72">
        <v>24.213000000000001</v>
      </c>
      <c r="G17" s="72">
        <v>6.3280000000000003</v>
      </c>
      <c r="H17" s="22">
        <v>513322</v>
      </c>
      <c r="I17" s="22">
        <v>143622</v>
      </c>
      <c r="J17" s="74">
        <v>642961</v>
      </c>
      <c r="K17" s="72">
        <v>22.34</v>
      </c>
    </row>
    <row r="18" spans="1:11" x14ac:dyDescent="0.25">
      <c r="A18" s="19" t="s">
        <v>20</v>
      </c>
      <c r="B18" s="20">
        <v>1346456.9611628433</v>
      </c>
      <c r="C18" s="20">
        <v>890996.44</v>
      </c>
      <c r="D18" s="21">
        <v>233476.06</v>
      </c>
      <c r="E18" s="20" t="s">
        <v>63</v>
      </c>
      <c r="F18" s="72">
        <v>24.12</v>
      </c>
      <c r="G18" s="72">
        <v>6.32</v>
      </c>
      <c r="H18" s="22">
        <v>387525</v>
      </c>
      <c r="I18" s="54">
        <v>144736</v>
      </c>
      <c r="J18" s="74">
        <v>646415</v>
      </c>
      <c r="K18" s="72">
        <v>22.39</v>
      </c>
    </row>
    <row r="19" spans="1:11" x14ac:dyDescent="0.25">
      <c r="A19" s="19" t="s">
        <v>21</v>
      </c>
      <c r="B19" s="20">
        <v>1419065.9146541499</v>
      </c>
      <c r="C19" s="20">
        <v>892086.86</v>
      </c>
      <c r="D19" s="20">
        <v>234451.01</v>
      </c>
      <c r="E19" s="20">
        <v>56312.89</v>
      </c>
      <c r="F19" s="72">
        <v>24.018999999999998</v>
      </c>
      <c r="G19" s="72">
        <v>6.3120000000000003</v>
      </c>
      <c r="H19" s="22">
        <v>387739</v>
      </c>
      <c r="I19" s="22">
        <v>145292</v>
      </c>
      <c r="J19" s="74">
        <v>652893</v>
      </c>
      <c r="K19" s="72">
        <v>22.25</v>
      </c>
    </row>
    <row r="20" spans="1:11" x14ac:dyDescent="0.25">
      <c r="A20" s="19" t="s">
        <v>22</v>
      </c>
      <c r="B20" s="20">
        <v>1402282.5346354758</v>
      </c>
      <c r="C20" s="20">
        <v>893177.28</v>
      </c>
      <c r="D20" s="20">
        <v>235117.87</v>
      </c>
      <c r="E20" s="20">
        <v>56312.89</v>
      </c>
      <c r="F20" s="72">
        <v>23.850999999999999</v>
      </c>
      <c r="G20" s="72">
        <v>6.3049999999999997</v>
      </c>
      <c r="H20" s="22">
        <v>388016</v>
      </c>
      <c r="I20" s="22">
        <v>142863</v>
      </c>
      <c r="J20" s="74">
        <v>660311</v>
      </c>
      <c r="K20" s="72">
        <v>22.8</v>
      </c>
    </row>
    <row r="21" spans="1:11" ht="3" customHeight="1" x14ac:dyDescent="0.25">
      <c r="A21" s="23"/>
      <c r="B21" s="24"/>
      <c r="C21" s="24"/>
      <c r="D21" s="25"/>
      <c r="E21" s="25"/>
      <c r="F21" s="26"/>
      <c r="G21" s="26"/>
      <c r="H21" s="27"/>
      <c r="I21" s="27"/>
      <c r="J21" s="27"/>
      <c r="K21" s="27"/>
    </row>
    <row r="22" spans="1:11" ht="3" customHeight="1" x14ac:dyDescent="0.25">
      <c r="A22" s="28"/>
      <c r="B22" s="29"/>
      <c r="C22" s="29"/>
      <c r="D22" s="30"/>
      <c r="E22" s="30"/>
      <c r="F22" s="31"/>
      <c r="G22" s="31"/>
      <c r="H22" s="32"/>
      <c r="I22" s="32"/>
      <c r="J22" s="32"/>
      <c r="K22" s="32"/>
    </row>
    <row r="23" spans="1:11" ht="11.25" customHeight="1" x14ac:dyDescent="0.25">
      <c r="A23" s="90" t="s">
        <v>37</v>
      </c>
      <c r="B23" s="90"/>
      <c r="C23" s="90"/>
      <c r="D23" s="90"/>
      <c r="E23" s="90"/>
      <c r="F23" s="90"/>
      <c r="G23" s="90"/>
      <c r="H23" s="90"/>
      <c r="I23" s="90"/>
      <c r="J23" s="32"/>
      <c r="K23" s="32"/>
    </row>
    <row r="24" spans="1:11" ht="11.25" customHeight="1" x14ac:dyDescent="0.25">
      <c r="A24" s="90" t="s">
        <v>64</v>
      </c>
      <c r="B24" s="90"/>
      <c r="C24" s="90"/>
      <c r="D24" s="90"/>
      <c r="E24" s="90"/>
      <c r="F24" s="90"/>
      <c r="G24" s="90"/>
      <c r="H24" s="90"/>
      <c r="I24" s="90"/>
      <c r="J24" s="68"/>
      <c r="K24" s="68"/>
    </row>
    <row r="25" spans="1:11" ht="11.25" customHeight="1" x14ac:dyDescent="0.25">
      <c r="A25" s="90" t="s">
        <v>53</v>
      </c>
      <c r="B25" s="90"/>
      <c r="C25" s="90"/>
      <c r="D25" s="90"/>
      <c r="E25" s="90"/>
      <c r="F25" s="90"/>
      <c r="G25" s="90"/>
      <c r="H25" s="90"/>
      <c r="I25" s="90"/>
      <c r="J25" s="68"/>
      <c r="K25" s="68"/>
    </row>
    <row r="26" spans="1:11" ht="11.25" customHeight="1" x14ac:dyDescent="0.25">
      <c r="A26" s="90" t="s">
        <v>52</v>
      </c>
      <c r="B26" s="90"/>
      <c r="C26" s="90"/>
      <c r="D26" s="90"/>
      <c r="E26" s="90"/>
      <c r="F26" s="90"/>
      <c r="G26" s="90"/>
      <c r="H26" s="90"/>
      <c r="I26" s="90"/>
      <c r="J26" s="68"/>
      <c r="K26" s="68"/>
    </row>
    <row r="27" spans="1:11" ht="11.25" customHeight="1" x14ac:dyDescent="0.25">
      <c r="A27" s="90" t="s">
        <v>26</v>
      </c>
      <c r="B27" s="90">
        <f>( 421.71/264.18)*1000000</f>
        <v>1596297.9786509196</v>
      </c>
      <c r="C27" s="90"/>
      <c r="D27" s="90"/>
      <c r="E27" s="90"/>
      <c r="F27" s="90"/>
      <c r="G27" s="90"/>
      <c r="H27" s="90"/>
      <c r="I27" s="90"/>
      <c r="J27" s="68"/>
      <c r="K27" s="68"/>
    </row>
    <row r="28" spans="1:11" ht="11.25" customHeight="1" x14ac:dyDescent="0.25">
      <c r="A28" s="79" t="s">
        <v>58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</row>
    <row r="29" spans="1:11" ht="11.25" customHeight="1" x14ac:dyDescent="0.25">
      <c r="A29" s="90" t="s">
        <v>59</v>
      </c>
      <c r="B29" s="90"/>
      <c r="C29" s="90"/>
      <c r="D29" s="90"/>
      <c r="E29" s="90"/>
      <c r="F29" s="90"/>
      <c r="G29" s="90"/>
      <c r="H29" s="90"/>
      <c r="I29" s="90"/>
      <c r="J29" s="68"/>
      <c r="K29" s="68"/>
    </row>
    <row r="30" spans="1:11" ht="11.25" customHeight="1" x14ac:dyDescent="0.25">
      <c r="A30" s="90" t="s">
        <v>65</v>
      </c>
      <c r="B30" s="90"/>
      <c r="C30" s="90"/>
      <c r="D30" s="90"/>
      <c r="E30" s="90"/>
      <c r="F30" s="90"/>
      <c r="G30" s="90"/>
      <c r="H30" s="90"/>
      <c r="I30" s="90"/>
      <c r="J30" s="68"/>
      <c r="K30" s="68"/>
    </row>
    <row r="31" spans="1:11" ht="11.25" customHeight="1" x14ac:dyDescent="0.25">
      <c r="A31" s="90" t="s">
        <v>29</v>
      </c>
      <c r="B31" s="90"/>
      <c r="C31" s="90"/>
      <c r="D31" s="90"/>
      <c r="E31" s="90"/>
      <c r="F31" s="90"/>
      <c r="G31" s="90"/>
      <c r="H31" s="90"/>
      <c r="I31" s="90"/>
      <c r="J31" s="68"/>
      <c r="K31" s="68"/>
    </row>
  </sheetData>
  <mergeCells count="12">
    <mergeCell ref="A25:I25"/>
    <mergeCell ref="A1:K1"/>
    <mergeCell ref="A2:K2"/>
    <mergeCell ref="A4:A5"/>
    <mergeCell ref="A23:I23"/>
    <mergeCell ref="A24:I24"/>
    <mergeCell ref="A26:I26"/>
    <mergeCell ref="A27:I27"/>
    <mergeCell ref="A29:I29"/>
    <mergeCell ref="A30:I30"/>
    <mergeCell ref="A31:I31"/>
    <mergeCell ref="A28:K28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F2C0B2-F986-494D-A7AD-FD44341A1853}">
  <dimension ref="A1:K31"/>
  <sheetViews>
    <sheetView tabSelected="1" workbookViewId="0">
      <selection activeCell="J12" sqref="J12"/>
    </sheetView>
  </sheetViews>
  <sheetFormatPr baseColWidth="10" defaultRowHeight="15" x14ac:dyDescent="0.25"/>
  <cols>
    <col min="1" max="1" width="13.85546875" style="1" customWidth="1"/>
    <col min="2" max="11" width="16.28515625" style="1" customWidth="1"/>
    <col min="12" max="16384" width="11.42578125" style="1"/>
  </cols>
  <sheetData>
    <row r="1" spans="1:11" x14ac:dyDescent="0.25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x14ac:dyDescent="0.25">
      <c r="A2" s="81" t="s">
        <v>66</v>
      </c>
      <c r="B2" s="81"/>
      <c r="C2" s="81"/>
      <c r="D2" s="81"/>
      <c r="E2" s="81"/>
      <c r="F2" s="81"/>
      <c r="G2" s="81"/>
      <c r="H2" s="81"/>
      <c r="I2" s="81"/>
      <c r="J2" s="81"/>
      <c r="K2" s="81"/>
    </row>
    <row r="3" spans="1:11" x14ac:dyDescent="0.25">
      <c r="A3" s="2"/>
      <c r="B3" s="3"/>
      <c r="C3" s="3"/>
      <c r="D3" s="4"/>
      <c r="E3" s="4"/>
      <c r="F3" s="5"/>
      <c r="G3" s="5"/>
      <c r="H3" s="6"/>
      <c r="I3" s="6"/>
      <c r="J3" s="6"/>
      <c r="K3" s="6"/>
    </row>
    <row r="4" spans="1:11" ht="69.75" customHeight="1" x14ac:dyDescent="0.25">
      <c r="A4" s="82" t="s">
        <v>1</v>
      </c>
      <c r="B4" s="7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7" t="s">
        <v>43</v>
      </c>
      <c r="H4" s="7" t="s">
        <v>44</v>
      </c>
      <c r="I4" s="7" t="s">
        <v>61</v>
      </c>
      <c r="J4" s="8" t="s">
        <v>46</v>
      </c>
      <c r="K4" s="8" t="s">
        <v>47</v>
      </c>
    </row>
    <row r="5" spans="1:11" x14ac:dyDescent="0.25">
      <c r="A5" s="83"/>
      <c r="B5" s="8" t="s">
        <v>9</v>
      </c>
      <c r="C5" s="8" t="s">
        <v>9</v>
      </c>
      <c r="D5" s="8" t="s">
        <v>9</v>
      </c>
      <c r="E5" s="8" t="s">
        <v>9</v>
      </c>
      <c r="F5" s="8" t="s">
        <v>10</v>
      </c>
      <c r="G5" s="8" t="s">
        <v>10</v>
      </c>
      <c r="H5" s="8"/>
      <c r="I5" s="8"/>
      <c r="J5" s="69"/>
      <c r="K5" s="8" t="s">
        <v>10</v>
      </c>
    </row>
    <row r="6" spans="1:11" ht="3" customHeight="1" x14ac:dyDescent="0.25">
      <c r="A6" s="2"/>
      <c r="B6" s="3"/>
      <c r="C6" s="3"/>
      <c r="D6" s="9"/>
      <c r="E6" s="9"/>
      <c r="F6" s="10"/>
      <c r="G6" s="10"/>
      <c r="H6" s="6"/>
      <c r="I6" s="6"/>
      <c r="J6" s="6"/>
      <c r="K6" s="6"/>
    </row>
    <row r="7" spans="1:11" ht="15.75" customHeight="1" x14ac:dyDescent="0.25">
      <c r="A7" s="75" t="s">
        <v>62</v>
      </c>
      <c r="B7" s="12">
        <f>AVERAGE(B9:B20)</f>
        <v>1430254.6243722716</v>
      </c>
      <c r="C7" s="12">
        <f t="shared" ref="C7:K7" si="0">AVERAGE(C9:C20)</f>
        <v>900171.93</v>
      </c>
      <c r="D7" s="12">
        <f>AVERAGE(D9:D20)</f>
        <v>238911.02500000002</v>
      </c>
      <c r="E7" s="12">
        <f t="shared" si="0"/>
        <v>71397.602499999994</v>
      </c>
      <c r="F7" s="70">
        <f t="shared" si="0"/>
        <v>29.885666666666676</v>
      </c>
      <c r="G7" s="70">
        <f t="shared" si="0"/>
        <v>7.9291666666666663</v>
      </c>
      <c r="H7" s="13">
        <f t="shared" si="0"/>
        <v>391463.66666666669</v>
      </c>
      <c r="I7" s="13">
        <f t="shared" si="0"/>
        <v>148711.25</v>
      </c>
      <c r="J7" s="71">
        <f t="shared" si="0"/>
        <v>676180.33333333337</v>
      </c>
      <c r="K7" s="70">
        <f t="shared" si="0"/>
        <v>22.011750000000003</v>
      </c>
    </row>
    <row r="8" spans="1:11" ht="3" customHeight="1" x14ac:dyDescent="0.25">
      <c r="A8" s="14"/>
      <c r="B8" s="15"/>
      <c r="C8" s="15"/>
      <c r="D8" s="16"/>
      <c r="E8" s="16"/>
      <c r="F8" s="72"/>
      <c r="G8" s="72"/>
      <c r="H8" s="18"/>
      <c r="I8" s="18"/>
      <c r="J8" s="73"/>
      <c r="K8" s="72"/>
    </row>
    <row r="9" spans="1:11" x14ac:dyDescent="0.25">
      <c r="A9" s="19" t="s">
        <v>11</v>
      </c>
      <c r="B9" s="52">
        <v>1382315.0881974411</v>
      </c>
      <c r="C9" s="20">
        <v>894253.38</v>
      </c>
      <c r="D9" s="20">
        <v>235117.87</v>
      </c>
      <c r="E9" s="20">
        <v>56312.89</v>
      </c>
      <c r="F9" s="72">
        <v>23.78</v>
      </c>
      <c r="G9" s="72">
        <v>6.2969999999999997</v>
      </c>
      <c r="H9" s="22">
        <v>389295</v>
      </c>
      <c r="I9" s="22">
        <v>146787</v>
      </c>
      <c r="J9" s="74">
        <v>663633</v>
      </c>
      <c r="K9" s="72">
        <v>22.18</v>
      </c>
    </row>
    <row r="10" spans="1:11" x14ac:dyDescent="0.25">
      <c r="A10" s="19" t="s">
        <v>12</v>
      </c>
      <c r="B10" s="52">
        <v>1369551.0636687106</v>
      </c>
      <c r="C10" s="20">
        <v>895329.48</v>
      </c>
      <c r="D10" s="20">
        <v>237047.18</v>
      </c>
      <c r="E10" s="20">
        <v>56312.89</v>
      </c>
      <c r="F10" s="72">
        <v>23.76</v>
      </c>
      <c r="G10" s="72">
        <v>6.29</v>
      </c>
      <c r="H10" s="22">
        <v>389345</v>
      </c>
      <c r="I10" s="22">
        <v>147313</v>
      </c>
      <c r="J10" s="74">
        <v>665200</v>
      </c>
      <c r="K10" s="72">
        <v>22.15</v>
      </c>
    </row>
    <row r="11" spans="1:11" x14ac:dyDescent="0.25">
      <c r="A11" s="19" t="s">
        <v>13</v>
      </c>
      <c r="B11" s="52">
        <v>1402899.5381936561</v>
      </c>
      <c r="C11" s="20">
        <v>896405.58</v>
      </c>
      <c r="D11" s="20">
        <v>237380.62</v>
      </c>
      <c r="E11" s="20">
        <v>56312.89</v>
      </c>
      <c r="F11" s="72">
        <v>23.72</v>
      </c>
      <c r="G11" s="72">
        <v>6.282</v>
      </c>
      <c r="H11" s="22">
        <v>389553</v>
      </c>
      <c r="I11" s="22">
        <v>147385</v>
      </c>
      <c r="J11" s="74">
        <v>668928</v>
      </c>
      <c r="K11" s="72">
        <v>22.033000000000001</v>
      </c>
    </row>
    <row r="12" spans="1:11" x14ac:dyDescent="0.25">
      <c r="A12" s="19" t="s">
        <v>14</v>
      </c>
      <c r="B12" s="52">
        <v>1380346.7332879095</v>
      </c>
      <c r="C12" s="20">
        <v>897481.68</v>
      </c>
      <c r="D12" s="21">
        <v>237458.23</v>
      </c>
      <c r="E12" s="20">
        <v>56312.89</v>
      </c>
      <c r="F12" s="72">
        <v>23.71</v>
      </c>
      <c r="G12" s="72">
        <v>6.27</v>
      </c>
      <c r="H12" s="22">
        <v>389612</v>
      </c>
      <c r="I12" s="22">
        <v>147412</v>
      </c>
      <c r="J12" s="74">
        <v>671934</v>
      </c>
      <c r="K12" s="72">
        <v>21.937999999999999</v>
      </c>
    </row>
    <row r="13" spans="1:11" x14ac:dyDescent="0.25">
      <c r="A13" s="19" t="s">
        <v>15</v>
      </c>
      <c r="B13" s="20">
        <v>1325732.4551442198</v>
      </c>
      <c r="C13" s="20">
        <v>898557.78</v>
      </c>
      <c r="D13" s="21">
        <v>237458.23</v>
      </c>
      <c r="E13" s="20">
        <v>56312.89</v>
      </c>
      <c r="F13" s="72">
        <v>23.942</v>
      </c>
      <c r="G13" s="72">
        <v>6.2670000000000003</v>
      </c>
      <c r="H13" s="22">
        <v>389749</v>
      </c>
      <c r="I13" s="22">
        <v>147428</v>
      </c>
      <c r="J13" s="74">
        <v>673681</v>
      </c>
      <c r="K13" s="72">
        <v>21.88</v>
      </c>
    </row>
    <row r="14" spans="1:11" x14ac:dyDescent="0.25">
      <c r="A14" s="19" t="s">
        <v>16</v>
      </c>
      <c r="B14" s="20">
        <v>1304947.3843591493</v>
      </c>
      <c r="C14" s="20">
        <v>899633.88</v>
      </c>
      <c r="D14" s="21">
        <v>237454.27</v>
      </c>
      <c r="E14" s="20">
        <v>56312.89</v>
      </c>
      <c r="F14" s="72">
        <v>23.72</v>
      </c>
      <c r="G14" s="72">
        <v>6.26</v>
      </c>
      <c r="H14" s="54">
        <v>389827</v>
      </c>
      <c r="I14" s="54">
        <v>147441</v>
      </c>
      <c r="J14" s="74">
        <v>676468</v>
      </c>
      <c r="K14" s="72">
        <v>21.79</v>
      </c>
    </row>
    <row r="15" spans="1:11" x14ac:dyDescent="0.25">
      <c r="A15" s="19" t="s">
        <v>17</v>
      </c>
      <c r="B15" s="20">
        <v>1354364.4484820955</v>
      </c>
      <c r="C15" s="20">
        <v>900709.98</v>
      </c>
      <c r="D15" s="21">
        <v>238573.37</v>
      </c>
      <c r="E15" s="20">
        <v>182994.8</v>
      </c>
      <c r="F15" s="72">
        <v>76.703999999999994</v>
      </c>
      <c r="G15" s="72">
        <v>20.317</v>
      </c>
      <c r="H15" s="22">
        <v>390857</v>
      </c>
      <c r="I15" s="22">
        <v>148409</v>
      </c>
      <c r="J15" s="74">
        <v>678568</v>
      </c>
      <c r="K15" s="72">
        <v>21.87</v>
      </c>
    </row>
    <row r="16" spans="1:11" x14ac:dyDescent="0.25">
      <c r="A16" s="19" t="s">
        <v>18</v>
      </c>
      <c r="B16" s="20">
        <v>1502615.6408509351</v>
      </c>
      <c r="C16" s="20">
        <v>901786.08</v>
      </c>
      <c r="D16" s="21">
        <v>239760.58</v>
      </c>
      <c r="E16" s="20">
        <v>79314.8</v>
      </c>
      <c r="F16" s="72">
        <v>33.081000000000003</v>
      </c>
      <c r="G16" s="72">
        <v>8.7949999999999999</v>
      </c>
      <c r="H16" s="54">
        <v>392503</v>
      </c>
      <c r="I16" s="54">
        <v>149714</v>
      </c>
      <c r="J16" s="74">
        <v>679558</v>
      </c>
      <c r="K16" s="72">
        <v>22.03</v>
      </c>
    </row>
    <row r="17" spans="1:11" x14ac:dyDescent="0.25">
      <c r="A17" s="19" t="s">
        <v>19</v>
      </c>
      <c r="B17" s="20">
        <v>1555443.258384435</v>
      </c>
      <c r="C17" s="20">
        <v>902862.18</v>
      </c>
      <c r="D17" s="21">
        <v>240565.25</v>
      </c>
      <c r="E17" s="20">
        <v>79314.8</v>
      </c>
      <c r="F17" s="72">
        <v>32.97</v>
      </c>
      <c r="G17" s="72">
        <v>8.7850000000000001</v>
      </c>
      <c r="H17" s="22">
        <v>393306</v>
      </c>
      <c r="I17" s="22">
        <v>150436</v>
      </c>
      <c r="J17" s="74">
        <v>683275</v>
      </c>
      <c r="K17" s="72">
        <v>22.02</v>
      </c>
    </row>
    <row r="18" spans="1:11" x14ac:dyDescent="0.25">
      <c r="A18" s="19" t="s">
        <v>20</v>
      </c>
      <c r="B18" s="20">
        <v>1535861.9123325006</v>
      </c>
      <c r="C18" s="20">
        <v>903938.28</v>
      </c>
      <c r="D18" s="21">
        <v>241332.7</v>
      </c>
      <c r="E18" s="20">
        <v>59089.83</v>
      </c>
      <c r="F18" s="72">
        <v>24.484999999999999</v>
      </c>
      <c r="G18" s="72">
        <v>6.5369999999999999</v>
      </c>
      <c r="H18" s="22">
        <v>393879</v>
      </c>
      <c r="I18" s="54">
        <v>150900</v>
      </c>
      <c r="J18" s="74">
        <v>683594</v>
      </c>
      <c r="K18" s="72">
        <v>22.07</v>
      </c>
    </row>
    <row r="19" spans="1:11" x14ac:dyDescent="0.25">
      <c r="A19" s="19" t="s">
        <v>21</v>
      </c>
      <c r="B19" s="20">
        <v>1523790.597320009</v>
      </c>
      <c r="C19" s="20">
        <v>905014.38</v>
      </c>
      <c r="D19" s="20">
        <v>242005.9</v>
      </c>
      <c r="E19" s="20">
        <v>59089.83</v>
      </c>
      <c r="F19" s="72">
        <v>24.417000000000002</v>
      </c>
      <c r="G19" s="72">
        <v>6.5289999999999999</v>
      </c>
      <c r="H19" s="22">
        <v>394537</v>
      </c>
      <c r="I19" s="22">
        <v>151112</v>
      </c>
      <c r="J19" s="74">
        <v>683957</v>
      </c>
      <c r="K19" s="72">
        <v>22.08</v>
      </c>
    </row>
    <row r="20" spans="1:11" x14ac:dyDescent="0.25">
      <c r="A20" s="19" t="s">
        <v>22</v>
      </c>
      <c r="B20" s="20">
        <v>1525187.3722461958</v>
      </c>
      <c r="C20" s="20">
        <v>906090.48</v>
      </c>
      <c r="D20" s="20">
        <v>242778.1</v>
      </c>
      <c r="E20" s="20">
        <v>59089.83</v>
      </c>
      <c r="F20" s="72">
        <v>24.338999999999999</v>
      </c>
      <c r="G20" s="72">
        <v>6.5209999999999999</v>
      </c>
      <c r="H20" s="22">
        <v>395101</v>
      </c>
      <c r="I20" s="22">
        <v>150198</v>
      </c>
      <c r="J20" s="74">
        <v>685368</v>
      </c>
      <c r="K20" s="72">
        <v>22.1</v>
      </c>
    </row>
    <row r="21" spans="1:11" ht="3" customHeight="1" x14ac:dyDescent="0.25">
      <c r="A21" s="23"/>
      <c r="B21" s="24"/>
      <c r="C21" s="24"/>
      <c r="D21" s="25"/>
      <c r="E21" s="25"/>
      <c r="F21" s="26"/>
      <c r="G21" s="26"/>
      <c r="H21" s="27"/>
      <c r="I21" s="27"/>
      <c r="J21" s="27"/>
      <c r="K21" s="27"/>
    </row>
    <row r="22" spans="1:11" ht="3" customHeight="1" x14ac:dyDescent="0.25">
      <c r="A22" s="28"/>
      <c r="B22" s="29"/>
      <c r="C22" s="29"/>
      <c r="D22" s="30"/>
      <c r="E22" s="30"/>
      <c r="F22" s="31"/>
      <c r="G22" s="31"/>
      <c r="H22" s="32"/>
      <c r="I22" s="32"/>
      <c r="J22" s="32"/>
      <c r="K22" s="32"/>
    </row>
    <row r="23" spans="1:11" ht="11.25" customHeight="1" x14ac:dyDescent="0.25">
      <c r="A23" s="90" t="s">
        <v>37</v>
      </c>
      <c r="B23" s="90"/>
      <c r="C23" s="90"/>
      <c r="D23" s="90"/>
      <c r="E23" s="90"/>
      <c r="F23" s="90"/>
      <c r="G23" s="90"/>
      <c r="H23" s="90"/>
      <c r="I23" s="90"/>
      <c r="J23" s="32"/>
      <c r="K23" s="32"/>
    </row>
    <row r="24" spans="1:11" ht="11.25" customHeight="1" x14ac:dyDescent="0.25">
      <c r="A24" s="90" t="s">
        <v>64</v>
      </c>
      <c r="B24" s="90"/>
      <c r="C24" s="90"/>
      <c r="D24" s="90"/>
      <c r="E24" s="90"/>
      <c r="F24" s="90"/>
      <c r="G24" s="90"/>
      <c r="H24" s="90"/>
      <c r="I24" s="90"/>
      <c r="J24" s="68"/>
      <c r="K24" s="68"/>
    </row>
    <row r="25" spans="1:11" ht="11.25" customHeight="1" x14ac:dyDescent="0.25">
      <c r="A25" s="90" t="s">
        <v>53</v>
      </c>
      <c r="B25" s="90"/>
      <c r="C25" s="90"/>
      <c r="D25" s="90"/>
      <c r="E25" s="90"/>
      <c r="F25" s="90"/>
      <c r="G25" s="90"/>
      <c r="H25" s="90"/>
      <c r="I25" s="90"/>
      <c r="J25" s="68"/>
      <c r="K25" s="68"/>
    </row>
    <row r="26" spans="1:11" ht="11.25" customHeight="1" x14ac:dyDescent="0.25">
      <c r="A26" s="90" t="s">
        <v>52</v>
      </c>
      <c r="B26" s="90"/>
      <c r="C26" s="90"/>
      <c r="D26" s="90"/>
      <c r="E26" s="90"/>
      <c r="F26" s="90"/>
      <c r="G26" s="90"/>
      <c r="H26" s="90"/>
      <c r="I26" s="90"/>
      <c r="J26" s="68"/>
      <c r="K26" s="68"/>
    </row>
    <row r="27" spans="1:11" ht="11.25" customHeight="1" x14ac:dyDescent="0.25">
      <c r="A27" s="90" t="s">
        <v>26</v>
      </c>
      <c r="B27" s="90">
        <f>( 421.71/264.18)*1000000</f>
        <v>1596297.9786509196</v>
      </c>
      <c r="C27" s="90"/>
      <c r="D27" s="90"/>
      <c r="E27" s="90"/>
      <c r="F27" s="90"/>
      <c r="G27" s="90"/>
      <c r="H27" s="90"/>
      <c r="I27" s="90"/>
      <c r="J27" s="68"/>
      <c r="K27" s="68"/>
    </row>
    <row r="28" spans="1:11" ht="11.25" customHeight="1" x14ac:dyDescent="0.25">
      <c r="A28" s="90" t="s">
        <v>58</v>
      </c>
      <c r="B28" s="90"/>
      <c r="C28" s="90"/>
      <c r="D28" s="90"/>
      <c r="E28" s="90"/>
      <c r="F28" s="90"/>
      <c r="G28" s="90"/>
      <c r="H28" s="90"/>
      <c r="I28" s="90"/>
      <c r="J28" s="68"/>
      <c r="K28" s="68"/>
    </row>
    <row r="29" spans="1:11" ht="11.25" customHeight="1" x14ac:dyDescent="0.25">
      <c r="A29" s="90" t="s">
        <v>59</v>
      </c>
      <c r="B29" s="90"/>
      <c r="C29" s="90"/>
      <c r="D29" s="90"/>
      <c r="E29" s="90"/>
      <c r="F29" s="90"/>
      <c r="G29" s="90"/>
      <c r="H29" s="90"/>
      <c r="I29" s="90"/>
      <c r="J29" s="68"/>
      <c r="K29" s="68"/>
    </row>
    <row r="30" spans="1:11" ht="11.25" customHeight="1" x14ac:dyDescent="0.25">
      <c r="A30" s="90" t="s">
        <v>65</v>
      </c>
      <c r="B30" s="90"/>
      <c r="C30" s="90"/>
      <c r="D30" s="90"/>
      <c r="E30" s="90"/>
      <c r="F30" s="90"/>
      <c r="G30" s="90"/>
      <c r="H30" s="90"/>
      <c r="I30" s="90"/>
      <c r="J30" s="68"/>
      <c r="K30" s="68"/>
    </row>
    <row r="31" spans="1:11" ht="11.25" customHeight="1" x14ac:dyDescent="0.25">
      <c r="A31" s="90" t="s">
        <v>29</v>
      </c>
      <c r="B31" s="90"/>
      <c r="C31" s="90"/>
      <c r="D31" s="90"/>
      <c r="E31" s="90"/>
      <c r="F31" s="90"/>
      <c r="G31" s="90"/>
      <c r="H31" s="90"/>
      <c r="I31" s="90"/>
      <c r="J31" s="68"/>
      <c r="K31" s="68"/>
    </row>
  </sheetData>
  <mergeCells count="12">
    <mergeCell ref="A31:I31"/>
    <mergeCell ref="A1:K1"/>
    <mergeCell ref="A2:K2"/>
    <mergeCell ref="A4:A5"/>
    <mergeCell ref="A23:I23"/>
    <mergeCell ref="A24:I24"/>
    <mergeCell ref="A25:I25"/>
    <mergeCell ref="A26:I26"/>
    <mergeCell ref="A27:I27"/>
    <mergeCell ref="A28:I28"/>
    <mergeCell ref="A29:I29"/>
    <mergeCell ref="A30:I3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theodore.quant</dc:creator>
  <cp:lastModifiedBy>Theodore Alexander Quant Matos</cp:lastModifiedBy>
  <dcterms:created xsi:type="dcterms:W3CDTF">2020-07-31T17:10:17Z</dcterms:created>
  <dcterms:modified xsi:type="dcterms:W3CDTF">2021-06-18T15:33:45Z</dcterms:modified>
</cp:coreProperties>
</file>