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6. Agua Potable y Saneamiento\2. Mensuales\"/>
    </mc:Choice>
  </mc:AlternateContent>
  <xr:revisionPtr revIDLastSave="0" documentId="13_ncr:1_{14C0AE25-CADF-4648-B6B0-6AAB0F7C10CD}" xr6:coauthVersionLast="47" xr6:coauthVersionMax="47" xr10:uidLastSave="{00000000-0000-0000-0000-000000000000}"/>
  <bookViews>
    <workbookView xWindow="-23148" yWindow="720" windowWidth="23256" windowHeight="12576" activeTab="12" xr2:uid="{00000000-000D-0000-FFFF-FFFF00000000}"/>
  </bookViews>
  <sheets>
    <sheet name="2012" sheetId="1" r:id="rId1"/>
    <sheet name="2013" sheetId="2" r:id="rId2"/>
    <sheet name="2014" sheetId="3" r:id="rId3"/>
    <sheet name="2015" sheetId="4" r:id="rId4"/>
    <sheet name="2016" sheetId="5" r:id="rId5"/>
    <sheet name="2017" sheetId="6" r:id="rId6"/>
    <sheet name="2018" sheetId="7" r:id="rId7"/>
    <sheet name="2019" sheetId="8" r:id="rId8"/>
    <sheet name="2020" sheetId="9" r:id="rId9"/>
    <sheet name="2021" sheetId="10" r:id="rId10"/>
    <sheet name="2022" sheetId="11" r:id="rId11"/>
    <sheet name="2023" sheetId="12" r:id="rId12"/>
    <sheet name="2024" sheetId="13" r:id="rId13"/>
  </sheets>
  <externalReferences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3" l="1"/>
  <c r="J19" i="13"/>
  <c r="B19" i="13" s="1"/>
  <c r="C19" i="13"/>
  <c r="J16" i="13"/>
  <c r="B16" i="13" s="1"/>
  <c r="C16" i="13"/>
  <c r="J13" i="13"/>
  <c r="C13" i="13"/>
  <c r="C7" i="13" s="1"/>
  <c r="J10" i="13"/>
  <c r="B10" i="13" s="1"/>
  <c r="C10" i="13"/>
  <c r="N7" i="13"/>
  <c r="M7" i="13"/>
  <c r="L7" i="13"/>
  <c r="K7" i="13"/>
  <c r="I7" i="13"/>
  <c r="H7" i="13"/>
  <c r="G7" i="13"/>
  <c r="F7" i="13"/>
  <c r="E7" i="13"/>
  <c r="D7" i="13"/>
  <c r="O19" i="12"/>
  <c r="O16" i="12"/>
  <c r="J16" i="12" s="1"/>
  <c r="O13" i="12"/>
  <c r="B7" i="11"/>
  <c r="C6" i="10"/>
  <c r="B6" i="10"/>
  <c r="C7" i="9"/>
  <c r="B7" i="9"/>
  <c r="O10" i="12"/>
  <c r="J10" i="12" s="1"/>
  <c r="J13" i="12"/>
  <c r="J19" i="12"/>
  <c r="C10" i="12"/>
  <c r="C13" i="12"/>
  <c r="C16" i="12"/>
  <c r="C19" i="12"/>
  <c r="O7" i="12"/>
  <c r="N7" i="12"/>
  <c r="M7" i="12"/>
  <c r="L7" i="12"/>
  <c r="K7" i="12"/>
  <c r="I7" i="12"/>
  <c r="H7" i="12"/>
  <c r="G7" i="12"/>
  <c r="F7" i="12"/>
  <c r="E7" i="12"/>
  <c r="D7" i="12"/>
  <c r="I7" i="11"/>
  <c r="H7" i="11"/>
  <c r="G7" i="11"/>
  <c r="F7" i="11"/>
  <c r="E7" i="11"/>
  <c r="D7" i="11"/>
  <c r="K7" i="11"/>
  <c r="L7" i="11"/>
  <c r="M7" i="11"/>
  <c r="N7" i="11"/>
  <c r="J16" i="11"/>
  <c r="B16" i="11" s="1"/>
  <c r="J19" i="11"/>
  <c r="B19" i="11" s="1"/>
  <c r="C13" i="11"/>
  <c r="C16" i="11"/>
  <c r="C19" i="11"/>
  <c r="O19" i="11"/>
  <c r="O16" i="11"/>
  <c r="O13" i="11"/>
  <c r="J13" i="11" s="1"/>
  <c r="J7" i="13" l="1"/>
  <c r="B13" i="13"/>
  <c r="B7" i="13" s="1"/>
  <c r="O7" i="13"/>
  <c r="B19" i="12"/>
  <c r="B16" i="12"/>
  <c r="B13" i="12"/>
  <c r="C7" i="12"/>
  <c r="B10" i="12"/>
  <c r="J7" i="12"/>
  <c r="B13" i="11"/>
  <c r="D6" i="10"/>
  <c r="E6" i="10"/>
  <c r="F6" i="10"/>
  <c r="G6" i="10"/>
  <c r="H6" i="10"/>
  <c r="I6" i="10"/>
  <c r="K6" i="10"/>
  <c r="L6" i="10"/>
  <c r="M6" i="10"/>
  <c r="N6" i="10"/>
  <c r="D7" i="9"/>
  <c r="E7" i="9"/>
  <c r="F7" i="9"/>
  <c r="G7" i="9"/>
  <c r="H7" i="9"/>
  <c r="I7" i="9"/>
  <c r="K7" i="9"/>
  <c r="L7" i="9"/>
  <c r="M7" i="9"/>
  <c r="N7" i="9"/>
  <c r="O7" i="9"/>
  <c r="D7" i="8"/>
  <c r="E7" i="8"/>
  <c r="F7" i="8"/>
  <c r="G7" i="8"/>
  <c r="H7" i="8"/>
  <c r="I7" i="8"/>
  <c r="K7" i="8"/>
  <c r="L7" i="8"/>
  <c r="M7" i="8"/>
  <c r="N7" i="8"/>
  <c r="D7" i="7"/>
  <c r="E7" i="7"/>
  <c r="F7" i="7"/>
  <c r="G7" i="7"/>
  <c r="H7" i="7"/>
  <c r="I7" i="7"/>
  <c r="K7" i="7"/>
  <c r="L7" i="7"/>
  <c r="M7" i="7"/>
  <c r="N7" i="7"/>
  <c r="D7" i="6"/>
  <c r="E7" i="6"/>
  <c r="F7" i="6"/>
  <c r="G7" i="6"/>
  <c r="H7" i="6"/>
  <c r="I7" i="6"/>
  <c r="K7" i="6"/>
  <c r="L7" i="6"/>
  <c r="M7" i="6"/>
  <c r="N7" i="6"/>
  <c r="D7" i="5"/>
  <c r="E7" i="5"/>
  <c r="F7" i="5"/>
  <c r="G7" i="5"/>
  <c r="H7" i="5"/>
  <c r="I7" i="5"/>
  <c r="K7" i="5"/>
  <c r="L7" i="5"/>
  <c r="M7" i="5"/>
  <c r="N7" i="5"/>
  <c r="D7" i="4"/>
  <c r="E7" i="4"/>
  <c r="F7" i="4"/>
  <c r="G7" i="4"/>
  <c r="H7" i="4"/>
  <c r="I7" i="4"/>
  <c r="K7" i="4"/>
  <c r="L7" i="4"/>
  <c r="M7" i="4"/>
  <c r="N7" i="4"/>
  <c r="D7" i="3"/>
  <c r="E7" i="3"/>
  <c r="F7" i="3"/>
  <c r="G7" i="3"/>
  <c r="H7" i="3"/>
  <c r="I7" i="3"/>
  <c r="K7" i="3"/>
  <c r="L7" i="3"/>
  <c r="M7" i="3"/>
  <c r="O7" i="3"/>
  <c r="D7" i="2"/>
  <c r="E7" i="2"/>
  <c r="F7" i="2"/>
  <c r="G7" i="2"/>
  <c r="H7" i="2"/>
  <c r="I7" i="2"/>
  <c r="K7" i="2"/>
  <c r="L7" i="2"/>
  <c r="N7" i="2"/>
  <c r="O7" i="2"/>
  <c r="P7" i="2"/>
  <c r="Q7" i="2"/>
  <c r="D7" i="1"/>
  <c r="E7" i="1"/>
  <c r="F7" i="1"/>
  <c r="G7" i="1"/>
  <c r="H7" i="1"/>
  <c r="I7" i="1"/>
  <c r="K7" i="1"/>
  <c r="L7" i="1"/>
  <c r="M7" i="1"/>
  <c r="N7" i="1"/>
  <c r="O7" i="1"/>
  <c r="P7" i="1"/>
  <c r="Q7" i="1"/>
  <c r="B7" i="12" l="1"/>
  <c r="O11" i="11"/>
  <c r="O10" i="11"/>
  <c r="O9" i="11"/>
  <c r="J9" i="11" s="1"/>
  <c r="O8" i="11"/>
  <c r="O7" i="11" s="1"/>
  <c r="J11" i="11"/>
  <c r="C11" i="11"/>
  <c r="B11" i="11" s="1"/>
  <c r="J10" i="11"/>
  <c r="C10" i="11"/>
  <c r="C9" i="11"/>
  <c r="C8" i="11"/>
  <c r="O18" i="10"/>
  <c r="J18" i="10" s="1"/>
  <c r="O17" i="10"/>
  <c r="J17" i="10" s="1"/>
  <c r="O16" i="10"/>
  <c r="J16" i="10" s="1"/>
  <c r="O15" i="10"/>
  <c r="J15" i="10" s="1"/>
  <c r="C15" i="10"/>
  <c r="C16" i="10"/>
  <c r="C17" i="10"/>
  <c r="C18" i="10"/>
  <c r="O14" i="10"/>
  <c r="O13" i="10"/>
  <c r="J13" i="10" s="1"/>
  <c r="O12" i="10"/>
  <c r="O11" i="10"/>
  <c r="J11" i="10" s="1"/>
  <c r="O10" i="10"/>
  <c r="J10" i="10" s="1"/>
  <c r="O9" i="10"/>
  <c r="J9" i="10" s="1"/>
  <c r="O8" i="10"/>
  <c r="J8" i="10" s="1"/>
  <c r="O7" i="10"/>
  <c r="O6" i="10" s="1"/>
  <c r="J14" i="10"/>
  <c r="C14" i="10"/>
  <c r="C13" i="10"/>
  <c r="J12" i="10"/>
  <c r="C12" i="10"/>
  <c r="C11" i="10"/>
  <c r="C10" i="10"/>
  <c r="C9" i="10"/>
  <c r="C8" i="10"/>
  <c r="C7" i="10"/>
  <c r="J19" i="9"/>
  <c r="C19" i="9"/>
  <c r="J18" i="9"/>
  <c r="C18" i="9"/>
  <c r="J17" i="9"/>
  <c r="C17" i="9"/>
  <c r="J16" i="9"/>
  <c r="C16" i="9"/>
  <c r="J15" i="9"/>
  <c r="C15" i="9"/>
  <c r="J14" i="9"/>
  <c r="C14" i="9"/>
  <c r="J13" i="9"/>
  <c r="C13" i="9"/>
  <c r="J12" i="9"/>
  <c r="C12" i="9"/>
  <c r="J11" i="9"/>
  <c r="C11" i="9"/>
  <c r="J10" i="9"/>
  <c r="C10" i="9"/>
  <c r="J9" i="9"/>
  <c r="C9" i="9"/>
  <c r="J8" i="9"/>
  <c r="C8" i="9"/>
  <c r="J8" i="11" l="1"/>
  <c r="J7" i="11" s="1"/>
  <c r="C7" i="11"/>
  <c r="J7" i="9"/>
  <c r="B16" i="10"/>
  <c r="J7" i="10"/>
  <c r="J6" i="10" s="1"/>
  <c r="B17" i="10"/>
  <c r="B10" i="11"/>
  <c r="B8" i="11"/>
  <c r="B9" i="11"/>
  <c r="B18" i="10"/>
  <c r="B15" i="10"/>
  <c r="B12" i="9"/>
  <c r="B14" i="10"/>
  <c r="B13" i="10"/>
  <c r="B12" i="10"/>
  <c r="B11" i="10"/>
  <c r="B10" i="10"/>
  <c r="B9" i="10"/>
  <c r="B8" i="10"/>
  <c r="B9" i="9"/>
  <c r="B10" i="9"/>
  <c r="B13" i="9"/>
  <c r="B14" i="9"/>
  <c r="B15" i="9"/>
  <c r="B17" i="9"/>
  <c r="B18" i="9"/>
  <c r="B16" i="9"/>
  <c r="B11" i="9"/>
  <c r="B8" i="9"/>
  <c r="B19" i="9"/>
  <c r="B7" i="10" l="1"/>
  <c r="O19" i="8"/>
  <c r="J19" i="8" s="1"/>
  <c r="C19" i="8"/>
  <c r="O18" i="8"/>
  <c r="J18" i="8" s="1"/>
  <c r="C18" i="8"/>
  <c r="O17" i="8"/>
  <c r="J17" i="8" s="1"/>
  <c r="C17" i="8"/>
  <c r="O16" i="8"/>
  <c r="J16" i="8" s="1"/>
  <c r="C16" i="8"/>
  <c r="O15" i="8"/>
  <c r="J15" i="8" s="1"/>
  <c r="C15" i="8"/>
  <c r="O14" i="8"/>
  <c r="J14" i="8" s="1"/>
  <c r="C14" i="8"/>
  <c r="O13" i="8"/>
  <c r="J13" i="8" s="1"/>
  <c r="C13" i="8"/>
  <c r="O12" i="8"/>
  <c r="J12" i="8" s="1"/>
  <c r="B12" i="8" s="1"/>
  <c r="C12" i="8"/>
  <c r="O11" i="8"/>
  <c r="J11" i="8" s="1"/>
  <c r="C11" i="8"/>
  <c r="O10" i="8"/>
  <c r="J10" i="8" s="1"/>
  <c r="C10" i="8"/>
  <c r="O9" i="8"/>
  <c r="J9" i="8" s="1"/>
  <c r="C9" i="8"/>
  <c r="O8" i="8"/>
  <c r="C8" i="8"/>
  <c r="C7" i="8" l="1"/>
  <c r="B16" i="8"/>
  <c r="J8" i="8"/>
  <c r="J7" i="8" s="1"/>
  <c r="O7" i="8"/>
  <c r="B19" i="8"/>
  <c r="B18" i="8"/>
  <c r="B8" i="8"/>
  <c r="B10" i="8"/>
  <c r="B11" i="8"/>
  <c r="B14" i="8"/>
  <c r="B15" i="8"/>
  <c r="B9" i="8"/>
  <c r="B13" i="8"/>
  <c r="B17" i="8"/>
  <c r="B7" i="8" l="1"/>
  <c r="O19" i="7"/>
  <c r="J19" i="7" s="1"/>
  <c r="C19" i="7"/>
  <c r="O18" i="7"/>
  <c r="J18" i="7" s="1"/>
  <c r="C18" i="7"/>
  <c r="O17" i="7"/>
  <c r="J17" i="7" s="1"/>
  <c r="C17" i="7"/>
  <c r="O16" i="7"/>
  <c r="J16" i="7" s="1"/>
  <c r="C16" i="7"/>
  <c r="O15" i="7"/>
  <c r="J15" i="7" s="1"/>
  <c r="C15" i="7"/>
  <c r="O14" i="7"/>
  <c r="J14" i="7" s="1"/>
  <c r="C14" i="7"/>
  <c r="O13" i="7"/>
  <c r="J13" i="7" s="1"/>
  <c r="C13" i="7"/>
  <c r="O12" i="7"/>
  <c r="J12" i="7" s="1"/>
  <c r="C12" i="7"/>
  <c r="O11" i="7"/>
  <c r="J11" i="7" s="1"/>
  <c r="C11" i="7"/>
  <c r="O10" i="7"/>
  <c r="J10" i="7" s="1"/>
  <c r="C10" i="7"/>
  <c r="O9" i="7"/>
  <c r="J9" i="7" s="1"/>
  <c r="C9" i="7"/>
  <c r="O8" i="7"/>
  <c r="C8" i="7"/>
  <c r="J8" i="7" l="1"/>
  <c r="J7" i="7" s="1"/>
  <c r="O7" i="7"/>
  <c r="C7" i="7"/>
  <c r="B9" i="7"/>
  <c r="B10" i="7"/>
  <c r="B11" i="7"/>
  <c r="B12" i="7"/>
  <c r="B13" i="7"/>
  <c r="B14" i="7"/>
  <c r="B15" i="7"/>
  <c r="B16" i="7"/>
  <c r="B17" i="7"/>
  <c r="B18" i="7"/>
  <c r="B19" i="7"/>
  <c r="B8" i="7"/>
  <c r="B7" i="7" l="1"/>
  <c r="O19" i="6"/>
  <c r="J19" i="6" s="1"/>
  <c r="C19" i="6"/>
  <c r="O18" i="6"/>
  <c r="J18" i="6" s="1"/>
  <c r="C18" i="6"/>
  <c r="O17" i="6"/>
  <c r="J17" i="6" s="1"/>
  <c r="C17" i="6"/>
  <c r="O16" i="6"/>
  <c r="J16" i="6" s="1"/>
  <c r="C16" i="6"/>
  <c r="O15" i="6"/>
  <c r="J15" i="6" s="1"/>
  <c r="C15" i="6"/>
  <c r="O14" i="6"/>
  <c r="J14" i="6" s="1"/>
  <c r="C14" i="6"/>
  <c r="O13" i="6"/>
  <c r="J13" i="6" s="1"/>
  <c r="C13" i="6"/>
  <c r="O12" i="6"/>
  <c r="J12" i="6" s="1"/>
  <c r="C12" i="6"/>
  <c r="O11" i="6"/>
  <c r="J11" i="6" s="1"/>
  <c r="C11" i="6"/>
  <c r="O10" i="6"/>
  <c r="J10" i="6" s="1"/>
  <c r="C10" i="6"/>
  <c r="O9" i="6"/>
  <c r="J9" i="6" s="1"/>
  <c r="C9" i="6"/>
  <c r="O8" i="6"/>
  <c r="C8" i="6"/>
  <c r="J8" i="6" l="1"/>
  <c r="J7" i="6" s="1"/>
  <c r="O7" i="6"/>
  <c r="C7" i="6"/>
  <c r="B9" i="6"/>
  <c r="B10" i="6"/>
  <c r="B11" i="6"/>
  <c r="B12" i="6"/>
  <c r="B13" i="6"/>
  <c r="B14" i="6"/>
  <c r="B15" i="6"/>
  <c r="B16" i="6"/>
  <c r="B17" i="6"/>
  <c r="B18" i="6"/>
  <c r="B19" i="6"/>
  <c r="B8" i="6"/>
  <c r="B7" i="6" l="1"/>
  <c r="J19" i="5"/>
  <c r="C19" i="5"/>
  <c r="J18" i="5"/>
  <c r="C18" i="5"/>
  <c r="O17" i="5"/>
  <c r="J17" i="5" s="1"/>
  <c r="B17" i="5" s="1"/>
  <c r="C17" i="5"/>
  <c r="O16" i="5"/>
  <c r="J16" i="5" s="1"/>
  <c r="C16" i="5"/>
  <c r="O15" i="5"/>
  <c r="J15" i="5" s="1"/>
  <c r="B15" i="5" s="1"/>
  <c r="C15" i="5"/>
  <c r="O14" i="5"/>
  <c r="J14" i="5" s="1"/>
  <c r="C14" i="5"/>
  <c r="O13" i="5"/>
  <c r="J13" i="5" s="1"/>
  <c r="B13" i="5" s="1"/>
  <c r="C13" i="5"/>
  <c r="O12" i="5"/>
  <c r="J12" i="5" s="1"/>
  <c r="C12" i="5"/>
  <c r="O11" i="5"/>
  <c r="J11" i="5" s="1"/>
  <c r="B11" i="5" s="1"/>
  <c r="C11" i="5"/>
  <c r="O10" i="5"/>
  <c r="J10" i="5" s="1"/>
  <c r="C10" i="5"/>
  <c r="O9" i="5"/>
  <c r="J9" i="5" s="1"/>
  <c r="C9" i="5"/>
  <c r="O8" i="5"/>
  <c r="C8" i="5"/>
  <c r="J8" i="5" l="1"/>
  <c r="J7" i="5" s="1"/>
  <c r="O7" i="5"/>
  <c r="C7" i="5"/>
  <c r="B14" i="5"/>
  <c r="B9" i="5"/>
  <c r="B10" i="5"/>
  <c r="B12" i="5"/>
  <c r="B16" i="5"/>
  <c r="B19" i="5"/>
  <c r="B8" i="5"/>
  <c r="B18" i="5"/>
  <c r="B7" i="5" l="1"/>
  <c r="O19" i="4"/>
  <c r="J19" i="4"/>
  <c r="C19" i="4"/>
  <c r="B19" i="4" s="1"/>
  <c r="O18" i="4"/>
  <c r="J18" i="4" s="1"/>
  <c r="C18" i="4"/>
  <c r="O17" i="4"/>
  <c r="J17" i="4" s="1"/>
  <c r="C17" i="4"/>
  <c r="O16" i="4"/>
  <c r="J16" i="4" s="1"/>
  <c r="B16" i="4" s="1"/>
  <c r="C16" i="4"/>
  <c r="O15" i="4"/>
  <c r="J15" i="4" s="1"/>
  <c r="B15" i="4" s="1"/>
  <c r="C15" i="4"/>
  <c r="O14" i="4"/>
  <c r="J14" i="4"/>
  <c r="C14" i="4"/>
  <c r="B14" i="4" s="1"/>
  <c r="O13" i="4"/>
  <c r="J13" i="4"/>
  <c r="C13" i="4"/>
  <c r="O12" i="4"/>
  <c r="J12" i="4"/>
  <c r="C12" i="4"/>
  <c r="O11" i="4"/>
  <c r="J11" i="4"/>
  <c r="B11" i="4" s="1"/>
  <c r="C11" i="4"/>
  <c r="O10" i="4"/>
  <c r="J10" i="4"/>
  <c r="C10" i="4"/>
  <c r="O9" i="4"/>
  <c r="J9" i="4" s="1"/>
  <c r="C9" i="4"/>
  <c r="O8" i="4"/>
  <c r="C8" i="4"/>
  <c r="C7" i="4" s="1"/>
  <c r="J8" i="4" l="1"/>
  <c r="J7" i="4" s="1"/>
  <c r="O7" i="4"/>
  <c r="B13" i="4"/>
  <c r="B18" i="4"/>
  <c r="B17" i="4"/>
  <c r="B12" i="4"/>
  <c r="B10" i="4"/>
  <c r="B9" i="4"/>
  <c r="B8" i="4"/>
  <c r="R19" i="3"/>
  <c r="J19" i="3" s="1"/>
  <c r="C19" i="3"/>
  <c r="R18" i="3"/>
  <c r="J18" i="3" s="1"/>
  <c r="C18" i="3"/>
  <c r="R17" i="3"/>
  <c r="J17" i="3" s="1"/>
  <c r="C17" i="3"/>
  <c r="R16" i="3"/>
  <c r="J16" i="3" s="1"/>
  <c r="C16" i="3"/>
  <c r="R15" i="3"/>
  <c r="J15" i="3" s="1"/>
  <c r="C15" i="3"/>
  <c r="R14" i="3"/>
  <c r="J14" i="3" s="1"/>
  <c r="C14" i="3"/>
  <c r="R13" i="3"/>
  <c r="J13" i="3" s="1"/>
  <c r="C13" i="3"/>
  <c r="R12" i="3"/>
  <c r="J12" i="3" s="1"/>
  <c r="C12" i="3"/>
  <c r="R11" i="3"/>
  <c r="J11" i="3" s="1"/>
  <c r="C11" i="3"/>
  <c r="R10" i="3"/>
  <c r="J10" i="3" s="1"/>
  <c r="C10" i="3"/>
  <c r="R9" i="3"/>
  <c r="J9" i="3" s="1"/>
  <c r="C9" i="3"/>
  <c r="R8" i="3"/>
  <c r="C8" i="3"/>
  <c r="J8" i="3" l="1"/>
  <c r="J7" i="3" s="1"/>
  <c r="R7" i="3"/>
  <c r="C7" i="3"/>
  <c r="B7" i="4"/>
  <c r="B9" i="3"/>
  <c r="B10" i="3"/>
  <c r="B8" i="3"/>
  <c r="B12" i="3"/>
  <c r="B13" i="3"/>
  <c r="B14" i="3"/>
  <c r="B11" i="3"/>
  <c r="B15" i="3"/>
  <c r="B16" i="3"/>
  <c r="B17" i="3"/>
  <c r="B18" i="3"/>
  <c r="B19" i="3"/>
  <c r="R19" i="2"/>
  <c r="M19" i="2"/>
  <c r="C19" i="2"/>
  <c r="R18" i="2"/>
  <c r="M18" i="2"/>
  <c r="C18" i="2"/>
  <c r="R17" i="2"/>
  <c r="M17" i="2"/>
  <c r="C17" i="2"/>
  <c r="R16" i="2"/>
  <c r="M16" i="2"/>
  <c r="C16" i="2"/>
  <c r="R15" i="2"/>
  <c r="M15" i="2"/>
  <c r="C15" i="2"/>
  <c r="R14" i="2"/>
  <c r="M14" i="2"/>
  <c r="C14" i="2"/>
  <c r="R13" i="2"/>
  <c r="M13" i="2"/>
  <c r="C13" i="2"/>
  <c r="R12" i="2"/>
  <c r="M12" i="2"/>
  <c r="C12" i="2"/>
  <c r="R11" i="2"/>
  <c r="M11" i="2"/>
  <c r="C11" i="2"/>
  <c r="R10" i="2"/>
  <c r="M10" i="2"/>
  <c r="C10" i="2"/>
  <c r="R9" i="2"/>
  <c r="M9" i="2"/>
  <c r="C9" i="2"/>
  <c r="R8" i="2"/>
  <c r="R7" i="2" s="1"/>
  <c r="M8" i="2"/>
  <c r="C8" i="2"/>
  <c r="C7" i="2" l="1"/>
  <c r="M7" i="2"/>
  <c r="B7" i="3"/>
  <c r="J9" i="2"/>
  <c r="B9" i="2" s="1"/>
  <c r="J11" i="2"/>
  <c r="B11" i="2" s="1"/>
  <c r="J12" i="2"/>
  <c r="B12" i="2" s="1"/>
  <c r="J13" i="2"/>
  <c r="B13" i="2" s="1"/>
  <c r="J15" i="2"/>
  <c r="B15" i="2" s="1"/>
  <c r="J16" i="2"/>
  <c r="B16" i="2" s="1"/>
  <c r="J19" i="2"/>
  <c r="B19" i="2" s="1"/>
  <c r="J17" i="2"/>
  <c r="B17" i="2" s="1"/>
  <c r="J10" i="2"/>
  <c r="B10" i="2" s="1"/>
  <c r="J14" i="2"/>
  <c r="B14" i="2" s="1"/>
  <c r="J18" i="2"/>
  <c r="B18" i="2" s="1"/>
  <c r="J8" i="2"/>
  <c r="J7" i="2" l="1"/>
  <c r="B8" i="2"/>
  <c r="B7" i="2" s="1"/>
  <c r="R19" i="1"/>
  <c r="J19" i="1"/>
  <c r="C19" i="1"/>
  <c r="R18" i="1"/>
  <c r="J18" i="1" s="1"/>
  <c r="C18" i="1"/>
  <c r="R17" i="1"/>
  <c r="J17" i="1" s="1"/>
  <c r="C17" i="1"/>
  <c r="R16" i="1"/>
  <c r="J16" i="1" s="1"/>
  <c r="C16" i="1"/>
  <c r="R15" i="1"/>
  <c r="C15" i="1"/>
  <c r="J14" i="1"/>
  <c r="C14" i="1"/>
  <c r="J13" i="1"/>
  <c r="C13" i="1"/>
  <c r="J12" i="1"/>
  <c r="C12" i="1"/>
  <c r="J11" i="1"/>
  <c r="C11" i="1"/>
  <c r="J10" i="1"/>
  <c r="C10" i="1"/>
  <c r="J9" i="1"/>
  <c r="C9" i="1"/>
  <c r="J8" i="1"/>
  <c r="C8" i="1"/>
  <c r="J15" i="1" l="1"/>
  <c r="J7" i="1" s="1"/>
  <c r="R7" i="1"/>
  <c r="C7" i="1"/>
  <c r="B13" i="1"/>
  <c r="B15" i="1"/>
  <c r="B9" i="1"/>
  <c r="B10" i="1"/>
  <c r="B11" i="1"/>
  <c r="B16" i="1"/>
  <c r="B19" i="1"/>
  <c r="B8" i="1"/>
  <c r="B18" i="1"/>
  <c r="B12" i="1"/>
  <c r="B14" i="1"/>
  <c r="B17" i="1"/>
  <c r="B7" i="1" l="1"/>
</calcChain>
</file>

<file path=xl/sharedStrings.xml><?xml version="1.0" encoding="utf-8"?>
<sst xmlns="http://schemas.openxmlformats.org/spreadsheetml/2006/main" count="723" uniqueCount="66">
  <si>
    <t>(Millones de galones diarios)</t>
  </si>
  <si>
    <t xml:space="preserve">    Mes</t>
  </si>
  <si>
    <t>Total General</t>
  </si>
  <si>
    <t>Superficial</t>
  </si>
  <si>
    <t>Subterráneo</t>
  </si>
  <si>
    <t>Subtotal fuente superficial</t>
  </si>
  <si>
    <t>Valdesia</t>
  </si>
  <si>
    <t>Haina – Manoguayabo</t>
  </si>
  <si>
    <t>Duey</t>
  </si>
  <si>
    <t>Isa</t>
  </si>
  <si>
    <t>La Isabela</t>
  </si>
  <si>
    <t>Sub-total fuente subterráneo</t>
  </si>
  <si>
    <t>Sabana Perdida</t>
  </si>
  <si>
    <t>Mata-Mamón</t>
  </si>
  <si>
    <t>Los Marenos</t>
  </si>
  <si>
    <t>La Catalina</t>
  </si>
  <si>
    <t>La Joya</t>
  </si>
  <si>
    <t>La Caleta</t>
  </si>
  <si>
    <t>Brujuelas – Casuí</t>
  </si>
  <si>
    <t>Otros sistemas sectoriales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</si>
  <si>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</si>
  <si>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</si>
  <si>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</si>
  <si>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</si>
  <si>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</si>
  <si>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</si>
  <si>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</si>
  <si>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</si>
  <si>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</si>
  <si>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</si>
  <si>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</si>
  <si>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</si>
  <si>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Haina Manoguayabo</t>
  </si>
  <si>
    <t>Sub-total fuente superficial</t>
  </si>
  <si>
    <t>Brujuelas Casuí</t>
  </si>
  <si>
    <r>
      <t>Acueducto Oriental</t>
    </r>
    <r>
      <rPr>
        <b/>
        <vertAlign val="superscript"/>
        <sz val="9"/>
        <rFont val="Roboto"/>
      </rPr>
      <t>2</t>
    </r>
  </si>
  <si>
    <r>
      <rPr>
        <b/>
        <sz val="9"/>
        <rFont val="Roboto"/>
      </rPr>
      <t>Cuadro 3.5</t>
    </r>
    <r>
      <rPr>
        <sz val="9"/>
        <rFont val="Roboto"/>
      </rPr>
      <t xml:space="preserve"> REPÚBLICA DOMINICANA: Capacidad promedio de producción de agua potable en Santo Domingo, por  tipo de fuente y sistema de abastecimiento, según mes, 2021*</t>
    </r>
  </si>
  <si>
    <r>
      <rPr>
        <b/>
        <sz val="9"/>
        <rFont val="Roboto"/>
      </rPr>
      <t>Cuadro 3.5</t>
    </r>
    <r>
      <rPr>
        <sz val="9"/>
        <rFont val="Roboto"/>
      </rPr>
      <t xml:space="preserve"> REPÚBLICA DOMINICANA: Capacidad promedio de producción de agua potable en Santo Domingo, por  tipo de fuente y sistema de abastecimiento, según mes, 2020*</t>
    </r>
  </si>
  <si>
    <r>
      <rPr>
        <b/>
        <sz val="9"/>
        <rFont val="Roboto"/>
      </rPr>
      <t>Cuadro 3.5</t>
    </r>
    <r>
      <rPr>
        <sz val="9"/>
        <rFont val="Roboto"/>
      </rPr>
      <t xml:space="preserve"> REPÚBLICA DOMINICANA: Capacidad promedio de producción de agua potable en Santo Domingo, por  tipo de fuente y sistema de abastecimiento, según mes, 2019*</t>
    </r>
  </si>
  <si>
    <r>
      <rPr>
        <b/>
        <sz val="9"/>
        <rFont val="Roboto"/>
      </rPr>
      <t>Cuadro 3.5</t>
    </r>
    <r>
      <rPr>
        <sz val="9"/>
        <rFont val="Roboto"/>
      </rPr>
      <t xml:space="preserve"> REPÚBLICA DOMINICANA: Capacidad promedio de producción de agua potable en Santo Domingo, por  tipo de fuente y sistema de abastecimiento, según mes, 2018*</t>
    </r>
  </si>
  <si>
    <r>
      <rPr>
        <b/>
        <sz val="9"/>
        <rFont val="Roboto"/>
      </rPr>
      <t>Cuadro 3.5</t>
    </r>
    <r>
      <rPr>
        <sz val="9"/>
        <rFont val="Roboto"/>
      </rPr>
      <t xml:space="preserve"> REPÚBLICA DOMINICANA: Capacidad promedio de producción de agua potable en Santo Domingo, por  tipo de fuente y sistema de abastecimiento, según mes, 2017*</t>
    </r>
  </si>
  <si>
    <r>
      <rPr>
        <b/>
        <sz val="9"/>
        <rFont val="Roboto"/>
      </rPr>
      <t>Cuadro 3.5</t>
    </r>
    <r>
      <rPr>
        <sz val="9"/>
        <rFont val="Roboto"/>
      </rPr>
      <t xml:space="preserve"> REPÚBLICA DOMINICANA: Capacidad promedio de producción de agua potable en Santo Domingo, por  tipo de fuente y sistema de abastecimiento, según mes, 2016*</t>
    </r>
  </si>
  <si>
    <r>
      <rPr>
        <b/>
        <sz val="9"/>
        <rFont val="Roboto"/>
      </rPr>
      <t>Cuadro 3.5</t>
    </r>
    <r>
      <rPr>
        <sz val="9"/>
        <rFont val="Roboto"/>
      </rPr>
      <t xml:space="preserve"> REPÚBLICA DOMINICANA: Capacidad promedio de producción de agua potable en Santo Domingo, por  tipo de fuente y sistema de abastecimiento, según mes, 2015*</t>
    </r>
  </si>
  <si>
    <r>
      <rPr>
        <b/>
        <sz val="9"/>
        <rFont val="Roboto"/>
      </rPr>
      <t>Cuadro 3.5</t>
    </r>
    <r>
      <rPr>
        <sz val="9"/>
        <rFont val="Roboto"/>
      </rPr>
      <t xml:space="preserve"> REPÚBLICA DOMINICANA: Capacidad promedio de producción de agua potable en Santo Domingo, por  tipo de fuente y sistema de abastecimiento, según mes, 2014*</t>
    </r>
  </si>
  <si>
    <r>
      <rPr>
        <b/>
        <sz val="9"/>
        <rFont val="Roboto"/>
      </rPr>
      <t xml:space="preserve">Cuadro 3.5 </t>
    </r>
    <r>
      <rPr>
        <sz val="9"/>
        <rFont val="Roboto"/>
      </rPr>
      <t>REPÚBLICA DOMINICANA:  Producción promedio de agua potable en Santo Domingo, por  tipo de fuente y sistema de abastecimiento, según mes, 2013*</t>
    </r>
  </si>
  <si>
    <r>
      <rPr>
        <b/>
        <sz val="9"/>
        <rFont val="Roboto"/>
      </rPr>
      <t>Cuadro 3.5</t>
    </r>
    <r>
      <rPr>
        <sz val="9"/>
        <rFont val="Roboto"/>
      </rPr>
      <t xml:space="preserve"> REPÚBLICA DOMINICANA: Capacidad promedio de producción de agua potable en Santo Domingo, por  tipo de fuente y sistema de abastecimiento, según mes, 2012*</t>
    </r>
  </si>
  <si>
    <r>
      <t xml:space="preserve">Nota: </t>
    </r>
    <r>
      <rPr>
        <vertAlign val="superscript"/>
        <sz val="7"/>
        <rFont val="Roboto"/>
      </rPr>
      <t>1</t>
    </r>
    <r>
      <rPr>
        <sz val="7"/>
        <rFont val="Roboto"/>
      </rPr>
      <t xml:space="preserve">:Total Promedio simple de los valores mensuales </t>
    </r>
  </si>
  <si>
    <r>
      <t xml:space="preserve">Nota: </t>
    </r>
    <r>
      <rPr>
        <vertAlign val="superscript"/>
        <sz val="7"/>
        <rFont val="Roboto"/>
      </rPr>
      <t>1</t>
    </r>
    <r>
      <rPr>
        <sz val="7"/>
        <rFont val="Roboto"/>
      </rPr>
      <t xml:space="preserve">: Total promedio simple de los valores mensuales </t>
    </r>
  </si>
  <si>
    <r>
      <t xml:space="preserve">Nota: </t>
    </r>
    <r>
      <rPr>
        <vertAlign val="superscript"/>
        <sz val="7"/>
        <rFont val="Roboto"/>
      </rPr>
      <t>1</t>
    </r>
    <r>
      <rPr>
        <sz val="7"/>
        <rFont val="Roboto"/>
      </rPr>
      <t xml:space="preserve">: Total: Promedio simple de los valores mensuales </t>
    </r>
  </si>
  <si>
    <t>n/d: información no disponible</t>
  </si>
  <si>
    <t>n/d</t>
  </si>
  <si>
    <r>
      <t xml:space="preserve">Nota: </t>
    </r>
    <r>
      <rPr>
        <vertAlign val="superscript"/>
        <sz val="7"/>
        <rFont val="Roboto"/>
      </rPr>
      <t>1</t>
    </r>
    <r>
      <rPr>
        <sz val="7"/>
        <rFont val="Roboto"/>
      </rPr>
      <t xml:space="preserve">:Total promedio simple de los valores mensuales </t>
    </r>
  </si>
  <si>
    <r>
      <t>Promedio</t>
    </r>
    <r>
      <rPr>
        <b/>
        <vertAlign val="superscript"/>
        <sz val="9"/>
        <rFont val="Roboto"/>
      </rPr>
      <t>1</t>
    </r>
    <r>
      <rPr>
        <b/>
        <sz val="9"/>
        <rFont val="Roboto"/>
      </rPr>
      <t xml:space="preserve"> </t>
    </r>
  </si>
  <si>
    <r>
      <rPr>
        <b/>
        <sz val="9"/>
        <rFont val="Roboto"/>
      </rPr>
      <t>Cuadro 3.5</t>
    </r>
    <r>
      <rPr>
        <sz val="9"/>
        <rFont val="Roboto"/>
      </rPr>
      <t xml:space="preserve"> REPÚBLICA DOMINICANA: Capacidad promedio de producción de agua potable en Santo Domingo, por  tipo de fuente y sistema de abastecimiento, según mes, 2022</t>
    </r>
  </si>
  <si>
    <r>
      <rPr>
        <b/>
        <sz val="9"/>
        <rFont val="Roboto"/>
      </rPr>
      <t>Cuadro 3.5</t>
    </r>
    <r>
      <rPr>
        <sz val="9"/>
        <rFont val="Roboto"/>
      </rPr>
      <t xml:space="preserve"> REPÚBLICA DOMINICANA: Capacidad promedio de producción de agua potable en Santo Domingo, por  tipo de fuente y sistema de abastecimiento, según mes, 2023</t>
    </r>
  </si>
  <si>
    <t>*Cifras sujetas a rectificación</t>
  </si>
  <si>
    <r>
      <rPr>
        <vertAlign val="superscript"/>
        <sz val="7"/>
        <rFont val="Roboto"/>
      </rPr>
      <t>2</t>
    </r>
    <r>
      <rPr>
        <sz val="7"/>
        <rFont val="Roboto"/>
      </rPr>
      <t>: En construcción, terminado el Acueducto Oriental su capacidad nominal será 4.0 M3/S</t>
    </r>
  </si>
  <si>
    <t>Fuente: Registros administrativos, Informe estadístico mensual, Departamento de Planificación, Corporación de Acueducto y Alcantarillado de Santo Domingo (CAASD)</t>
  </si>
  <si>
    <r>
      <rPr>
        <vertAlign val="superscript"/>
        <sz val="7"/>
        <rFont val="Roboto"/>
      </rPr>
      <t>2</t>
    </r>
    <r>
      <rPr>
        <sz val="7"/>
        <rFont val="Roboto"/>
      </rPr>
      <t>: En construcción, aunque terminado los modulos de producción y operando a su capacidad nominal de 4.0 M3/S, le falta por construir las redes de distribución</t>
    </r>
  </si>
  <si>
    <t>Fuente: Registros administrativos, Informe estadístico mensual, Departamento de Planificación, Corporación de Acueducto y Alcantarillado de Santo Domingo, (CAASD)</t>
  </si>
  <si>
    <t>Fuente: Registros administrativos, Informe estadístico mensual, Departamento de Planificación, Corporación de Acueducto y Alcantarillado de Santo Domingo, CAASD</t>
  </si>
  <si>
    <r>
      <rPr>
        <vertAlign val="superscript"/>
        <sz val="7"/>
        <rFont val="Roboto"/>
      </rPr>
      <t xml:space="preserve">2: </t>
    </r>
    <r>
      <rPr>
        <sz val="7"/>
        <rFont val="Roboto"/>
      </rPr>
      <t>En construcción, terminado el Acueducto Oriental su capacidad nominal será  4.0 M3/S</t>
    </r>
  </si>
  <si>
    <r>
      <rPr>
        <vertAlign val="superscript"/>
        <sz val="7"/>
        <rFont val="Roboto"/>
      </rPr>
      <t xml:space="preserve">2: </t>
    </r>
    <r>
      <rPr>
        <sz val="7"/>
        <rFont val="Roboto"/>
      </rPr>
      <t>En construcción, terminado el Acueducto Oriental su capacidad nominal será  4.0 m</t>
    </r>
    <r>
      <rPr>
        <vertAlign val="superscript"/>
        <sz val="7"/>
        <rFont val="Roboto"/>
      </rPr>
      <t>3</t>
    </r>
    <r>
      <rPr>
        <sz val="7"/>
        <rFont val="Roboto"/>
      </rPr>
      <t>/s</t>
    </r>
  </si>
  <si>
    <r>
      <rPr>
        <vertAlign val="superscript"/>
        <sz val="7"/>
        <rFont val="Roboto"/>
      </rPr>
      <t>2:</t>
    </r>
    <r>
      <rPr>
        <sz val="7"/>
        <rFont val="Roboto"/>
      </rPr>
      <t>En construcción, terminado el Acueducto Oriental su capacidad nominal será 4.0 m</t>
    </r>
    <r>
      <rPr>
        <vertAlign val="superscript"/>
        <sz val="7"/>
        <rFont val="Roboto"/>
      </rPr>
      <t>3</t>
    </r>
    <r>
      <rPr>
        <sz val="7"/>
        <rFont val="Roboto"/>
      </rPr>
      <t>/s</t>
    </r>
  </si>
  <si>
    <r>
      <rPr>
        <vertAlign val="superscript"/>
        <sz val="7"/>
        <rFont val="Roboto"/>
      </rPr>
      <t>2</t>
    </r>
    <r>
      <rPr>
        <sz val="7"/>
        <rFont val="Roboto"/>
      </rPr>
      <t>:En construcción terminado el Acueducto Oriental su capacidad nominal será 4.0 m</t>
    </r>
    <r>
      <rPr>
        <vertAlign val="superscript"/>
        <sz val="7"/>
        <rFont val="Roboto"/>
      </rPr>
      <t>3</t>
    </r>
    <r>
      <rPr>
        <sz val="7"/>
        <rFont val="Roboto"/>
      </rPr>
      <t>/s</t>
    </r>
  </si>
  <si>
    <r>
      <rPr>
        <b/>
        <sz val="9"/>
        <rFont val="Roboto"/>
      </rPr>
      <t>Cuadro 3.5</t>
    </r>
    <r>
      <rPr>
        <sz val="9"/>
        <rFont val="Roboto"/>
      </rPr>
      <t xml:space="preserve"> REPÚBLICA DOMINICANA: Capacidad promedio de producción de agua potable en Santo Domingo, por  tipo de fuente y sistema de abastecimiento, según mes,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</si>
</sst>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Roboto"/>
    </font>
    <font>
      <sz val="7"/>
      <name val="Roboto"/>
    </font>
    <font>
      <vertAlign val="superscript"/>
      <sz val="7"/>
      <name val="Roboto"/>
    </font>
    <font>
      <sz val="9"/>
      <color theme="1"/>
      <name val="Roboto"/>
    </font>
    <font>
      <b/>
      <sz val="9"/>
      <name val="Roboto"/>
    </font>
    <font>
      <b/>
      <vertAlign val="superscript"/>
      <sz val="9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0" fontId="3" fillId="3" borderId="0" xfId="1" applyFont="1" applyFill="1"/>
    <xf numFmtId="2" fontId="3" fillId="3" borderId="0" xfId="1" applyNumberFormat="1" applyFont="1" applyFill="1"/>
    <xf numFmtId="0" fontId="3" fillId="3" borderId="0" xfId="0" applyFont="1" applyFill="1"/>
    <xf numFmtId="0" fontId="6" fillId="2" borderId="0" xfId="0" applyFont="1" applyFill="1"/>
    <xf numFmtId="0" fontId="3" fillId="4" borderId="0" xfId="0" applyFont="1" applyFill="1" applyAlignment="1">
      <alignment horizontal="left" indent="2"/>
    </xf>
    <xf numFmtId="2" fontId="3" fillId="3" borderId="0" xfId="1" applyNumberFormat="1" applyFont="1" applyFill="1" applyAlignment="1">
      <alignment horizontal="center"/>
    </xf>
    <xf numFmtId="0" fontId="3" fillId="4" borderId="0" xfId="1" applyFont="1" applyFill="1" applyAlignment="1">
      <alignment vertical="center"/>
    </xf>
    <xf numFmtId="0" fontId="4" fillId="4" borderId="0" xfId="1" applyFont="1" applyFill="1" applyAlignment="1">
      <alignment vertic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2" fontId="7" fillId="3" borderId="3" xfId="2" applyNumberFormat="1" applyFont="1" applyFill="1" applyBorder="1" applyAlignment="1" applyProtection="1">
      <alignment horizontal="center" vertical="center" wrapText="1"/>
    </xf>
    <xf numFmtId="2" fontId="7" fillId="3" borderId="3" xfId="1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 indent="1"/>
    </xf>
    <xf numFmtId="2" fontId="7" fillId="3" borderId="0" xfId="1" applyNumberFormat="1" applyFont="1" applyFill="1" applyAlignment="1">
      <alignment horizontal="center"/>
    </xf>
    <xf numFmtId="0" fontId="3" fillId="5" borderId="0" xfId="0" applyFont="1" applyFill="1"/>
    <xf numFmtId="0" fontId="4" fillId="5" borderId="0" xfId="0" applyFont="1" applyFill="1"/>
    <xf numFmtId="0" fontId="3" fillId="2" borderId="0" xfId="0" applyFont="1" applyFill="1" applyAlignment="1">
      <alignment horizontal="left" indent="2"/>
    </xf>
    <xf numFmtId="2" fontId="3" fillId="5" borderId="0" xfId="1" applyNumberFormat="1" applyFont="1" applyFill="1"/>
    <xf numFmtId="0" fontId="3" fillId="5" borderId="0" xfId="1" applyFont="1" applyFill="1"/>
    <xf numFmtId="0" fontId="4" fillId="2" borderId="0" xfId="1" applyFont="1" applyFill="1" applyAlignment="1">
      <alignment vertical="center"/>
    </xf>
    <xf numFmtId="2" fontId="3" fillId="5" borderId="0" xfId="1" applyNumberFormat="1" applyFont="1" applyFill="1" applyAlignment="1">
      <alignment horizontal="center"/>
    </xf>
    <xf numFmtId="2" fontId="7" fillId="5" borderId="3" xfId="2" applyNumberFormat="1" applyFont="1" applyFill="1" applyBorder="1" applyAlignment="1" applyProtection="1">
      <alignment horizontal="center" vertical="center" wrapText="1"/>
    </xf>
    <xf numFmtId="2" fontId="7" fillId="5" borderId="3" xfId="1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 indent="1"/>
    </xf>
    <xf numFmtId="2" fontId="7" fillId="5" borderId="0" xfId="1" applyNumberFormat="1" applyFont="1" applyFill="1" applyAlignment="1">
      <alignment horizontal="center"/>
    </xf>
    <xf numFmtId="0" fontId="3" fillId="4" borderId="0" xfId="0" applyFont="1" applyFill="1"/>
    <xf numFmtId="0" fontId="4" fillId="4" borderId="0" xfId="0" applyFont="1" applyFill="1"/>
    <xf numFmtId="2" fontId="7" fillId="3" borderId="0" xfId="1" applyNumberFormat="1" applyFont="1" applyFill="1" applyAlignment="1">
      <alignment horizontal="left"/>
    </xf>
    <xf numFmtId="2" fontId="3" fillId="3" borderId="0" xfId="1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3" fillId="3" borderId="2" xfId="0" applyFont="1" applyFill="1" applyBorder="1"/>
    <xf numFmtId="165" fontId="7" fillId="3" borderId="0" xfId="1" applyNumberFormat="1" applyFont="1" applyFill="1" applyAlignment="1">
      <alignment horizontal="right"/>
    </xf>
    <xf numFmtId="165" fontId="3" fillId="3" borderId="0" xfId="1" applyNumberFormat="1" applyFont="1" applyFill="1" applyAlignment="1">
      <alignment horizontal="right"/>
    </xf>
    <xf numFmtId="165" fontId="7" fillId="3" borderId="2" xfId="1" applyNumberFormat="1" applyFont="1" applyFill="1" applyBorder="1" applyAlignment="1">
      <alignment horizontal="right"/>
    </xf>
    <xf numFmtId="165" fontId="3" fillId="3" borderId="2" xfId="1" applyNumberFormat="1" applyFont="1" applyFill="1" applyBorder="1" applyAlignment="1">
      <alignment horizontal="right"/>
    </xf>
    <xf numFmtId="0" fontId="3" fillId="5" borderId="0" xfId="0" applyFont="1" applyFill="1" applyAlignment="1">
      <alignment horizontal="left"/>
    </xf>
    <xf numFmtId="0" fontId="3" fillId="5" borderId="2" xfId="0" applyFont="1" applyFill="1" applyBorder="1" applyAlignment="1">
      <alignment horizontal="left"/>
    </xf>
    <xf numFmtId="165" fontId="7" fillId="5" borderId="0" xfId="1" applyNumberFormat="1" applyFont="1" applyFill="1" applyAlignment="1">
      <alignment horizontal="right"/>
    </xf>
    <xf numFmtId="165" fontId="3" fillId="5" borderId="0" xfId="1" applyNumberFormat="1" applyFont="1" applyFill="1" applyAlignment="1">
      <alignment horizontal="right"/>
    </xf>
    <xf numFmtId="165" fontId="7" fillId="2" borderId="0" xfId="1" applyNumberFormat="1" applyFont="1" applyFill="1" applyAlignment="1">
      <alignment horizontal="right"/>
    </xf>
    <xf numFmtId="165" fontId="7" fillId="5" borderId="2" xfId="1" applyNumberFormat="1" applyFont="1" applyFill="1" applyBorder="1" applyAlignment="1">
      <alignment horizontal="right"/>
    </xf>
    <xf numFmtId="165" fontId="3" fillId="5" borderId="2" xfId="1" applyNumberFormat="1" applyFont="1" applyFill="1" applyBorder="1" applyAlignment="1">
      <alignment horizontal="right"/>
    </xf>
    <xf numFmtId="0" fontId="3" fillId="3" borderId="0" xfId="1" applyFont="1" applyFill="1" applyAlignment="1">
      <alignment horizontal="center"/>
    </xf>
    <xf numFmtId="0" fontId="7" fillId="3" borderId="1" xfId="1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2" fontId="7" fillId="3" borderId="1" xfId="2" applyNumberFormat="1" applyFont="1" applyFill="1" applyBorder="1" applyAlignment="1" applyProtection="1">
      <alignment horizontal="center" vertical="center" wrapText="1"/>
    </xf>
    <xf numFmtId="0" fontId="3" fillId="5" borderId="0" xfId="1" applyFont="1" applyFill="1" applyAlignment="1">
      <alignment horizontal="center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1" applyFont="1" applyFill="1" applyBorder="1" applyAlignment="1">
      <alignment horizontal="left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2" fontId="7" fillId="5" borderId="1" xfId="2" applyNumberFormat="1" applyFont="1" applyFill="1" applyBorder="1" applyAlignment="1" applyProtection="1">
      <alignment horizontal="center" vertical="center" wrapText="1"/>
    </xf>
  </cellXfs>
  <cellStyles count="3">
    <cellStyle name="Comma 10" xfId="2" xr:uid="{00000000-0005-0000-0000-000000000000}"/>
    <cellStyle name="Normal" xfId="0" builtinId="0"/>
    <cellStyle name="Normal_Agua Caasd RDC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209550</xdr:colOff>
      <xdr:row>1</xdr:row>
      <xdr:rowOff>9525</xdr:rowOff>
    </xdr:from>
    <xdr:to>
      <xdr:col>17</xdr:col>
      <xdr:colOff>704850</xdr:colOff>
      <xdr:row>2</xdr:row>
      <xdr:rowOff>114300</xdr:rowOff>
    </xdr:to>
    <xdr:pic>
      <xdr:nvPicPr>
        <xdr:cNvPr id="3" name="Imagen 2" descr="cid:image001.png@01D33CF7.2C6D8500">
          <a:extLst>
            <a:ext uri="{FF2B5EF4-FFF2-40B4-BE49-F238E27FC236}">
              <a16:creationId xmlns:a16="http://schemas.microsoft.com/office/drawing/2014/main" id="{1BA22393-E9B4-493A-8410-646D9C384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0700" y="200025"/>
          <a:ext cx="4953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428625</xdr:colOff>
      <xdr:row>1</xdr:row>
      <xdr:rowOff>28574</xdr:rowOff>
    </xdr:from>
    <xdr:to>
      <xdr:col>15</xdr:col>
      <xdr:colOff>47625</xdr:colOff>
      <xdr:row>2</xdr:row>
      <xdr:rowOff>38099</xdr:rowOff>
    </xdr:to>
    <xdr:pic>
      <xdr:nvPicPr>
        <xdr:cNvPr id="3" name="Imagen 2" descr="cid:image001.png@01D33CF7.2C6D8500">
          <a:extLst>
            <a:ext uri="{FF2B5EF4-FFF2-40B4-BE49-F238E27FC236}">
              <a16:creationId xmlns:a16="http://schemas.microsoft.com/office/drawing/2014/main" id="{EC74F0D4-FA26-4AD0-B5F8-697774A3B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625" y="219074"/>
          <a:ext cx="3810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409575</xdr:colOff>
      <xdr:row>1</xdr:row>
      <xdr:rowOff>28574</xdr:rowOff>
    </xdr:from>
    <xdr:to>
      <xdr:col>15</xdr:col>
      <xdr:colOff>28575</xdr:colOff>
      <xdr:row>2</xdr:row>
      <xdr:rowOff>38099</xdr:rowOff>
    </xdr:to>
    <xdr:pic>
      <xdr:nvPicPr>
        <xdr:cNvPr id="3" name="Imagen 2" descr="cid:image001.png@01D33CF7.2C6D8500">
          <a:extLst>
            <a:ext uri="{FF2B5EF4-FFF2-40B4-BE49-F238E27FC236}">
              <a16:creationId xmlns:a16="http://schemas.microsoft.com/office/drawing/2014/main" id="{793056CD-093E-4DEA-9471-9F3C7BFE6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219074"/>
          <a:ext cx="3810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409575</xdr:colOff>
      <xdr:row>1</xdr:row>
      <xdr:rowOff>28574</xdr:rowOff>
    </xdr:from>
    <xdr:to>
      <xdr:col>15</xdr:col>
      <xdr:colOff>28575</xdr:colOff>
      <xdr:row>2</xdr:row>
      <xdr:rowOff>38099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760E8AC2-3C4A-4E30-AD78-DC7B77B9C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219074"/>
          <a:ext cx="3810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409575</xdr:colOff>
      <xdr:row>1</xdr:row>
      <xdr:rowOff>28574</xdr:rowOff>
    </xdr:from>
    <xdr:to>
      <xdr:col>15</xdr:col>
      <xdr:colOff>28575</xdr:colOff>
      <xdr:row>2</xdr:row>
      <xdr:rowOff>38099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55CFCB37-45DB-4207-AE50-E757CEE5A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220979"/>
          <a:ext cx="381000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228600</xdr:colOff>
      <xdr:row>1</xdr:row>
      <xdr:rowOff>0</xdr:rowOff>
    </xdr:from>
    <xdr:to>
      <xdr:col>17</xdr:col>
      <xdr:colOff>723900</xdr:colOff>
      <xdr:row>2</xdr:row>
      <xdr:rowOff>104775</xdr:rowOff>
    </xdr:to>
    <xdr:pic>
      <xdr:nvPicPr>
        <xdr:cNvPr id="3" name="Imagen 2" descr="cid:image001.png@01D33CF7.2C6D8500">
          <a:extLst>
            <a:ext uri="{FF2B5EF4-FFF2-40B4-BE49-F238E27FC236}">
              <a16:creationId xmlns:a16="http://schemas.microsoft.com/office/drawing/2014/main" id="{F54BB53F-8A35-4DDD-AB34-6AC991DE7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2600" y="190500"/>
          <a:ext cx="4953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247650</xdr:colOff>
      <xdr:row>1</xdr:row>
      <xdr:rowOff>38100</xdr:rowOff>
    </xdr:from>
    <xdr:to>
      <xdr:col>17</xdr:col>
      <xdr:colOff>742950</xdr:colOff>
      <xdr:row>2</xdr:row>
      <xdr:rowOff>142875</xdr:rowOff>
    </xdr:to>
    <xdr:pic>
      <xdr:nvPicPr>
        <xdr:cNvPr id="3" name="Imagen 2" descr="cid:image001.png@01D33CF7.2C6D8500">
          <a:extLst>
            <a:ext uri="{FF2B5EF4-FFF2-40B4-BE49-F238E27FC236}">
              <a16:creationId xmlns:a16="http://schemas.microsoft.com/office/drawing/2014/main" id="{A57E5602-8318-4207-8A0D-93BF54D87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1650" y="228600"/>
          <a:ext cx="4953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257175</xdr:colOff>
      <xdr:row>0</xdr:row>
      <xdr:rowOff>180975</xdr:rowOff>
    </xdr:from>
    <xdr:to>
      <xdr:col>14</xdr:col>
      <xdr:colOff>752475</xdr:colOff>
      <xdr:row>2</xdr:row>
      <xdr:rowOff>95250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0D9C4B64-0BE6-4CAB-86FD-C170F31CB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180975"/>
          <a:ext cx="4953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304800</xdr:colOff>
      <xdr:row>1</xdr:row>
      <xdr:rowOff>19050</xdr:rowOff>
    </xdr:from>
    <xdr:to>
      <xdr:col>15</xdr:col>
      <xdr:colOff>38100</xdr:colOff>
      <xdr:row>2</xdr:row>
      <xdr:rowOff>123825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58537163-D57A-4BB9-9D4F-45C7C3773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209550"/>
          <a:ext cx="4953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1</xdr:row>
      <xdr:rowOff>0</xdr:rowOff>
    </xdr:from>
    <xdr:to>
      <xdr:col>14</xdr:col>
      <xdr:colOff>723900</xdr:colOff>
      <xdr:row>2</xdr:row>
      <xdr:rowOff>104775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86EC96CC-BF7D-4744-B3D4-2FA18EA8D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600" y="190500"/>
          <a:ext cx="4953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276225</xdr:colOff>
      <xdr:row>0</xdr:row>
      <xdr:rowOff>171450</xdr:rowOff>
    </xdr:from>
    <xdr:to>
      <xdr:col>15</xdr:col>
      <xdr:colOff>9525</xdr:colOff>
      <xdr:row>2</xdr:row>
      <xdr:rowOff>85725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5408BA17-0302-4B12-A99C-91F108DAB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4225" y="171450"/>
          <a:ext cx="4953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257175</xdr:colOff>
      <xdr:row>1</xdr:row>
      <xdr:rowOff>9525</xdr:rowOff>
    </xdr:from>
    <xdr:to>
      <xdr:col>14</xdr:col>
      <xdr:colOff>752475</xdr:colOff>
      <xdr:row>2</xdr:row>
      <xdr:rowOff>114300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C5D71CEE-7CDC-4745-96F2-2E993D2B9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200025"/>
          <a:ext cx="4953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171450</xdr:rowOff>
    </xdr:from>
    <xdr:to>
      <xdr:col>14</xdr:col>
      <xdr:colOff>723900</xdr:colOff>
      <xdr:row>2</xdr:row>
      <xdr:rowOff>85725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59400DE6-A18C-4538-BCE4-055B3FF4E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600" y="171450"/>
          <a:ext cx="4953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documentos\ESTADISTICAS\INDICADORES%20DE%20GESTION\A&#209;O%202013\INDICADORES%202013%20actualiz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rnadas-13"/>
      <sheetName val="ADIESTRAMIENTO-13"/>
      <sheetName val="grafico alcant sanitario, 11"/>
      <sheetName val="grafico alcantarillado, 11"/>
      <sheetName val="RESUMEN ALCANTARILLADO 2013"/>
      <sheetName val="ALCANTARILLADO POR GERENCIA-13"/>
      <sheetName val="personal 2010"/>
      <sheetName val="AVERIAS X GERENCIA-13"/>
      <sheetName val="INTERVENSIONES EN RED, 13"/>
      <sheetName val="GRAFICO AVERIAS, 13"/>
      <sheetName val="averias, 13"/>
      <sheetName val="indicadores,13"/>
      <sheetName val="indicadores (distribuidos)"/>
      <sheetName val="indicadores"/>
      <sheetName val="graf-comparativo recaudaciones,"/>
      <sheetName val="Gráfico1 rec acea"/>
      <sheetName val="Gráfico1 aaa dominicana"/>
      <sheetName val="CLIENTES IRREGULARES"/>
      <sheetName val="UNIDADES x USO"/>
      <sheetName val="consumo de agua x tipo cliente"/>
      <sheetName val="OTRAS ESTADISTICAS FACTURACION"/>
      <sheetName val="GRAF recaudos por gerencia"/>
      <sheetName val="GRAF RECAUDOS X GERENCIA Y AÑO "/>
      <sheetName val="FACTURACION (2013"/>
      <sheetName val="ESTADISTICA DE CORTES 2013"/>
      <sheetName val="produccion m3 por seg-MENSUAL"/>
      <sheetName val="PROD M3"/>
      <sheetName val="grafico de produccion"/>
      <sheetName val="produccion -MGD"/>
      <sheetName val="produccion-MG"/>
      <sheetName val="sustancias LIBRAS"/>
      <sheetName val="laboratorio, 2013"/>
      <sheetName val="limpieza desinfeccion tanque"/>
      <sheetName val="electromecanica, 13"/>
      <sheetName val="portadas"/>
      <sheetName val="DATOS PARA INFORME ONE"/>
      <sheetName val="CORTES Y RECONEX POR MES "/>
      <sheetName val="CORTES Y RECONEX"/>
      <sheetName val="DATA GRAFICOS"/>
      <sheetName val="COMSUMO GAS-OIL X SISTEMA 13"/>
      <sheetName val="consumo combustible vehícul 13"/>
      <sheetName val="PROMOCIONES POR AÑO"/>
      <sheetName val="Hoja1"/>
      <sheetName val="NUEVOS PARAMETROS INDICADORES"/>
      <sheetName val="grafico eficiencias de recaudos"/>
      <sheetName val="CALCULOS CON INFORMES COMERCIAL"/>
      <sheetName val="GRAF RECAUDOS 2010-JUN 2012"/>
      <sheetName val="GRAF EVOL. FACT 2010-JUN 2012"/>
      <sheetName val="GRAF COBERTURA Y CREC. CONEX"/>
      <sheetName val="GRAF. CALIDAD DE AGUA"/>
      <sheetName val="GRAF. ROTACION DEUDA"/>
      <sheetName val="CALCULO CON ESTADO FINANCIERO"/>
      <sheetName val="Hoja2"/>
      <sheetName val="Hoja3"/>
      <sheetName val="USUARIOS ACTIVOS AAA DOMINICANA"/>
      <sheetName val="Hoja4"/>
      <sheetName val="unidades act e inact, z este 07"/>
      <sheetName val="censo y salud"/>
      <sheetName val="DEMANDA VS OFER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4">
          <cell r="C14">
            <v>0.85419354838709682</v>
          </cell>
          <cell r="D14">
            <v>1.0121428571428572</v>
          </cell>
          <cell r="E14">
            <v>0.99535483870967745</v>
          </cell>
          <cell r="F14">
            <v>0.57186666666666663</v>
          </cell>
          <cell r="G14">
            <v>0.96387096774193548</v>
          </cell>
          <cell r="H14">
            <v>0.67566666666666664</v>
          </cell>
          <cell r="I14">
            <v>0.49587096774193545</v>
          </cell>
          <cell r="J14">
            <v>3.3551612903225809</v>
          </cell>
          <cell r="K14">
            <v>3.1756666666666664</v>
          </cell>
          <cell r="L14">
            <v>0.67251612903225799</v>
          </cell>
          <cell r="M14">
            <v>0.88533333333333331</v>
          </cell>
          <cell r="N14">
            <v>0.67754838709677423</v>
          </cell>
        </row>
        <row r="15">
          <cell r="C15">
            <v>3.4003225806451614</v>
          </cell>
          <cell r="D15">
            <v>3.5214285714285714</v>
          </cell>
          <cell r="E15">
            <v>3.9938709677419357</v>
          </cell>
          <cell r="F15">
            <v>3.7673000000000001</v>
          </cell>
          <cell r="G15">
            <v>3.5096774193548388</v>
          </cell>
          <cell r="H15">
            <v>3.6053333333333333</v>
          </cell>
          <cell r="I15">
            <v>3.5096774193548388</v>
          </cell>
          <cell r="J15">
            <v>0.55974193548387097</v>
          </cell>
          <cell r="K15">
            <v>0.78803333333333325</v>
          </cell>
          <cell r="L15">
            <v>2.2745161290322584</v>
          </cell>
          <cell r="M15">
            <v>2.9623333333333335</v>
          </cell>
          <cell r="N15">
            <v>4.1945161290322579</v>
          </cell>
        </row>
        <row r="18">
          <cell r="C18">
            <v>1.1493548387096775</v>
          </cell>
          <cell r="D18">
            <v>1.1396428571428572</v>
          </cell>
          <cell r="E18">
            <v>1.1290322580645162</v>
          </cell>
          <cell r="F18">
            <v>1.056</v>
          </cell>
          <cell r="G18">
            <v>1.1341935483870966</v>
          </cell>
          <cell r="H18">
            <v>1.163</v>
          </cell>
          <cell r="I18">
            <v>1.1432258064516128</v>
          </cell>
          <cell r="J18">
            <v>1.1016129032258064</v>
          </cell>
          <cell r="K18">
            <v>1.022</v>
          </cell>
          <cell r="L18">
            <v>0.9590322580645162</v>
          </cell>
          <cell r="M18">
            <v>0.96733333333333327</v>
          </cell>
          <cell r="N18">
            <v>1.133225806451613</v>
          </cell>
        </row>
        <row r="20">
          <cell r="C20">
            <v>7.330645161290323</v>
          </cell>
          <cell r="D20">
            <v>7.0778571428571428</v>
          </cell>
          <cell r="E20">
            <v>6.6380645161290319</v>
          </cell>
          <cell r="F20">
            <v>5.2993333333333332</v>
          </cell>
          <cell r="G20">
            <v>5.3490322580645158</v>
          </cell>
          <cell r="H20">
            <v>5.6059999999999999</v>
          </cell>
          <cell r="I20">
            <v>5.588387096774194</v>
          </cell>
          <cell r="J20">
            <v>5.741935483870968</v>
          </cell>
          <cell r="K20">
            <v>5.8439999999999994</v>
          </cell>
          <cell r="L20">
            <v>5.6819354838709675</v>
          </cell>
          <cell r="M20">
            <v>5.8419999999999996</v>
          </cell>
          <cell r="N20">
            <v>5.6135483870967748</v>
          </cell>
        </row>
        <row r="24">
          <cell r="C24">
            <v>1.2853548387096774</v>
          </cell>
          <cell r="D24">
            <v>1.2722857142857145</v>
          </cell>
          <cell r="E24">
            <v>1.2599354838709678</v>
          </cell>
          <cell r="F24">
            <v>1.2058666666666666</v>
          </cell>
          <cell r="G24">
            <v>1.1846774193548388</v>
          </cell>
          <cell r="H24">
            <v>1.1601333333333335</v>
          </cell>
          <cell r="I24">
            <v>1.1468387096774193</v>
          </cell>
          <cell r="J24">
            <v>0.97767741935483865</v>
          </cell>
          <cell r="K24">
            <v>0.94493333333333329</v>
          </cell>
          <cell r="L24">
            <v>1.2400967741935482</v>
          </cell>
          <cell r="M24">
            <v>1.927</v>
          </cell>
          <cell r="N24">
            <v>1.8940645161290324</v>
          </cell>
        </row>
        <row r="25">
          <cell r="C25">
            <v>0.86367741935483877</v>
          </cell>
          <cell r="D25">
            <v>0.85782142857142851</v>
          </cell>
          <cell r="E25">
            <v>0.84119354838709681</v>
          </cell>
          <cell r="F25">
            <v>0.75583333333333336</v>
          </cell>
          <cell r="G25">
            <v>0.83445161290322578</v>
          </cell>
          <cell r="H25">
            <v>0.79006666666666669</v>
          </cell>
          <cell r="I25">
            <v>0.70774193548387099</v>
          </cell>
          <cell r="J25">
            <v>0.81109677419354831</v>
          </cell>
          <cell r="K25">
            <v>0.55783333333333329</v>
          </cell>
          <cell r="L25">
            <v>0.72370967741935477</v>
          </cell>
          <cell r="M25">
            <v>0.63343333333333329</v>
          </cell>
          <cell r="N25">
            <v>0.65829032258064513</v>
          </cell>
        </row>
        <row r="26">
          <cell r="C26">
            <v>11.295322580645161</v>
          </cell>
          <cell r="D26">
            <v>12.109321428571429</v>
          </cell>
          <cell r="E26">
            <v>11.404387096774194</v>
          </cell>
          <cell r="F26">
            <v>11.034366666666667</v>
          </cell>
          <cell r="G26">
            <v>11.734483870967741</v>
          </cell>
          <cell r="H26">
            <v>11.213433333333334</v>
          </cell>
          <cell r="I26">
            <v>10.942322580645161</v>
          </cell>
          <cell r="J26">
            <v>10.686580645161291</v>
          </cell>
          <cell r="K26">
            <v>10.0183</v>
          </cell>
          <cell r="L26">
            <v>10.980096774193548</v>
          </cell>
          <cell r="M26">
            <v>10.954233333333333</v>
          </cell>
          <cell r="N26">
            <v>12.344032258064518</v>
          </cell>
        </row>
        <row r="28">
          <cell r="C28">
            <v>17.174516129032256</v>
          </cell>
          <cell r="D28">
            <v>14.121785714285716</v>
          </cell>
          <cell r="E28">
            <v>17.176774193548386</v>
          </cell>
          <cell r="F28">
            <v>14.677666666666665</v>
          </cell>
          <cell r="G28">
            <v>13.787741935483872</v>
          </cell>
          <cell r="H28">
            <v>10.442666666666666</v>
          </cell>
          <cell r="I28">
            <v>12.205806451612903</v>
          </cell>
          <cell r="J28">
            <v>12.16483870967742</v>
          </cell>
          <cell r="K28">
            <v>13.294</v>
          </cell>
          <cell r="L28">
            <v>13.804838709677419</v>
          </cell>
          <cell r="M28">
            <v>10.647333333333334</v>
          </cell>
          <cell r="N28">
            <v>8.2232258064516124</v>
          </cell>
        </row>
        <row r="29">
          <cell r="C29">
            <v>3.6264516129032258</v>
          </cell>
          <cell r="D29">
            <v>3.15</v>
          </cell>
          <cell r="E29">
            <v>3.5835483870967741</v>
          </cell>
          <cell r="F29">
            <v>2.2810000000000001</v>
          </cell>
          <cell r="G29">
            <v>2.0993548387096772</v>
          </cell>
          <cell r="H29">
            <v>2.0513333333333335</v>
          </cell>
          <cell r="I29">
            <v>1.9951612903225806</v>
          </cell>
          <cell r="J29">
            <v>2.0474193548387096</v>
          </cell>
          <cell r="K29">
            <v>2.177</v>
          </cell>
          <cell r="L29">
            <v>1.6567741935483871</v>
          </cell>
          <cell r="M29">
            <v>1.5010000000000001</v>
          </cell>
          <cell r="N29">
            <v>2.3938709677419352</v>
          </cell>
        </row>
        <row r="35">
          <cell r="C35">
            <v>1.0306451612903225</v>
          </cell>
          <cell r="D35">
            <v>1.1160714285714286</v>
          </cell>
          <cell r="E35">
            <v>1.1177419354838709</v>
          </cell>
          <cell r="F35">
            <v>1.0436666666666665</v>
          </cell>
          <cell r="G35">
            <v>1.0616129032258064</v>
          </cell>
          <cell r="H35">
            <v>1.0313333333333334</v>
          </cell>
          <cell r="I35">
            <v>0.97325806451612906</v>
          </cell>
          <cell r="J35">
            <v>0.97225806451612906</v>
          </cell>
          <cell r="K35">
            <v>1.1303333333333332</v>
          </cell>
          <cell r="L35">
            <v>1.0412903225806451</v>
          </cell>
          <cell r="M35">
            <v>1.0620000000000001</v>
          </cell>
          <cell r="N35">
            <v>1.0946774193548388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E33" sqref="E33"/>
    </sheetView>
  </sheetViews>
  <sheetFormatPr baseColWidth="10" defaultColWidth="11.42578125" defaultRowHeight="12" x14ac:dyDescent="0.2"/>
  <cols>
    <col min="1" max="4" width="11.42578125" style="5"/>
    <col min="5" max="5" width="12.28515625" style="5" customWidth="1"/>
    <col min="6" max="16384" width="11.42578125" style="5"/>
  </cols>
  <sheetData>
    <row r="1" spans="1:18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x14ac:dyDescent="0.2">
      <c r="A2" s="2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">
      <c r="A5" s="45" t="s">
        <v>1</v>
      </c>
      <c r="B5" s="47" t="s">
        <v>2</v>
      </c>
      <c r="C5" s="49" t="s">
        <v>3</v>
      </c>
      <c r="D5" s="49"/>
      <c r="E5" s="49"/>
      <c r="F5" s="49"/>
      <c r="G5" s="49"/>
      <c r="H5" s="49"/>
      <c r="I5" s="49"/>
      <c r="J5" s="47" t="s">
        <v>4</v>
      </c>
      <c r="K5" s="47"/>
      <c r="L5" s="47"/>
      <c r="M5" s="47"/>
      <c r="N5" s="47"/>
      <c r="O5" s="47"/>
      <c r="P5" s="47"/>
      <c r="Q5" s="47"/>
      <c r="R5" s="47"/>
    </row>
    <row r="6" spans="1:18" ht="36" x14ac:dyDescent="0.2">
      <c r="A6" s="46"/>
      <c r="B6" s="48"/>
      <c r="C6" s="12" t="s">
        <v>5</v>
      </c>
      <c r="D6" s="12" t="s">
        <v>6</v>
      </c>
      <c r="E6" s="12" t="s">
        <v>32</v>
      </c>
      <c r="F6" s="12" t="s">
        <v>8</v>
      </c>
      <c r="G6" s="12" t="s">
        <v>9</v>
      </c>
      <c r="H6" s="12" t="s">
        <v>10</v>
      </c>
      <c r="I6" s="12" t="s">
        <v>35</v>
      </c>
      <c r="J6" s="13" t="s">
        <v>11</v>
      </c>
      <c r="K6" s="12" t="s">
        <v>12</v>
      </c>
      <c r="L6" s="12" t="s">
        <v>13</v>
      </c>
      <c r="M6" s="12" t="s">
        <v>14</v>
      </c>
      <c r="N6" s="12" t="s">
        <v>15</v>
      </c>
      <c r="O6" s="12" t="s">
        <v>16</v>
      </c>
      <c r="P6" s="12" t="s">
        <v>17</v>
      </c>
      <c r="Q6" s="12" t="s">
        <v>18</v>
      </c>
      <c r="R6" s="12" t="s">
        <v>19</v>
      </c>
    </row>
    <row r="7" spans="1:18" ht="14.25" x14ac:dyDescent="0.2">
      <c r="A7" s="14" t="s">
        <v>52</v>
      </c>
      <c r="B7" s="33">
        <f>AVERAGE(B8:B19)</f>
        <v>355.85741666666672</v>
      </c>
      <c r="C7" s="33">
        <f t="shared" ref="C7:R7" si="0">AVERAGE(C8:C19)</f>
        <v>261.71666666666664</v>
      </c>
      <c r="D7" s="33">
        <f t="shared" si="0"/>
        <v>128.67416666666665</v>
      </c>
      <c r="E7" s="33">
        <f t="shared" si="0"/>
        <v>39.524166666666673</v>
      </c>
      <c r="F7" s="33">
        <f t="shared" si="0"/>
        <v>12.523333333333332</v>
      </c>
      <c r="G7" s="33">
        <f t="shared" si="0"/>
        <v>13.054166666666667</v>
      </c>
      <c r="H7" s="33">
        <f t="shared" si="0"/>
        <v>4.7550000000000008</v>
      </c>
      <c r="I7" s="33">
        <f t="shared" si="0"/>
        <v>63.185833333333328</v>
      </c>
      <c r="J7" s="33">
        <f t="shared" si="0"/>
        <v>94.140749999999983</v>
      </c>
      <c r="K7" s="33">
        <f t="shared" si="0"/>
        <v>4.6541666666666677</v>
      </c>
      <c r="L7" s="33">
        <f t="shared" si="0"/>
        <v>1.8474999999999999</v>
      </c>
      <c r="M7" s="33">
        <f t="shared" si="0"/>
        <v>17.425833333333333</v>
      </c>
      <c r="N7" s="33">
        <f t="shared" si="0"/>
        <v>4.6883333333333335</v>
      </c>
      <c r="O7" s="33">
        <f t="shared" si="0"/>
        <v>15.577499999999999</v>
      </c>
      <c r="P7" s="33">
        <f t="shared" si="0"/>
        <v>5.600833333333334</v>
      </c>
      <c r="Q7" s="33">
        <f t="shared" si="0"/>
        <v>13.062416666666666</v>
      </c>
      <c r="R7" s="33">
        <f t="shared" si="0"/>
        <v>31.284166666666664</v>
      </c>
    </row>
    <row r="8" spans="1:18" x14ac:dyDescent="0.2">
      <c r="A8" s="4" t="s">
        <v>20</v>
      </c>
      <c r="B8" s="33">
        <f>SUM(C8,J8)</f>
        <v>360.64000000000004</v>
      </c>
      <c r="C8" s="33">
        <f>SUM(D8:I8)</f>
        <v>273.66000000000003</v>
      </c>
      <c r="D8" s="34">
        <v>119.59</v>
      </c>
      <c r="E8" s="34">
        <v>53.28</v>
      </c>
      <c r="F8" s="34">
        <v>13.11</v>
      </c>
      <c r="G8" s="34">
        <v>14.03</v>
      </c>
      <c r="H8" s="34">
        <v>4.51</v>
      </c>
      <c r="I8" s="34">
        <v>69.14</v>
      </c>
      <c r="J8" s="33">
        <f>SUM(K8:R8)</f>
        <v>86.98</v>
      </c>
      <c r="K8" s="34">
        <v>5.1100000000000003</v>
      </c>
      <c r="L8" s="34">
        <v>2.33</v>
      </c>
      <c r="M8" s="34">
        <v>10.46</v>
      </c>
      <c r="N8" s="34">
        <v>5.44</v>
      </c>
      <c r="O8" s="34">
        <v>14.76</v>
      </c>
      <c r="P8" s="34">
        <v>6.05</v>
      </c>
      <c r="Q8" s="34">
        <v>13.16</v>
      </c>
      <c r="R8" s="34">
        <v>29.67</v>
      </c>
    </row>
    <row r="9" spans="1:18" x14ac:dyDescent="0.2">
      <c r="A9" s="4" t="s">
        <v>21</v>
      </c>
      <c r="B9" s="33">
        <f t="shared" ref="B9:B19" si="1">SUM(C9,J9)</f>
        <v>371.81</v>
      </c>
      <c r="C9" s="33">
        <f t="shared" ref="C9:C19" si="2">SUM(D9:I9)</f>
        <v>269.14</v>
      </c>
      <c r="D9" s="34">
        <v>119.55</v>
      </c>
      <c r="E9" s="34">
        <v>46.71</v>
      </c>
      <c r="F9" s="34">
        <v>12.71</v>
      </c>
      <c r="G9" s="34">
        <v>13.4</v>
      </c>
      <c r="H9" s="34">
        <v>5.2</v>
      </c>
      <c r="I9" s="34">
        <v>71.569999999999993</v>
      </c>
      <c r="J9" s="33">
        <f t="shared" ref="J9:J19" si="3">SUM(K9:R9)</f>
        <v>102.67</v>
      </c>
      <c r="K9" s="34">
        <v>5.36</v>
      </c>
      <c r="L9" s="34">
        <v>2.65</v>
      </c>
      <c r="M9" s="34">
        <v>19.989999999999998</v>
      </c>
      <c r="N9" s="34">
        <v>5.76</v>
      </c>
      <c r="O9" s="34">
        <v>18.28</v>
      </c>
      <c r="P9" s="34">
        <v>4.29</v>
      </c>
      <c r="Q9" s="34">
        <v>13.82</v>
      </c>
      <c r="R9" s="34">
        <v>32.519999999999996</v>
      </c>
    </row>
    <row r="10" spans="1:18" x14ac:dyDescent="0.2">
      <c r="A10" s="4" t="s">
        <v>22</v>
      </c>
      <c r="B10" s="33">
        <f t="shared" si="1"/>
        <v>345.44</v>
      </c>
      <c r="C10" s="33">
        <f t="shared" si="2"/>
        <v>246.7</v>
      </c>
      <c r="D10" s="34">
        <v>115.74</v>
      </c>
      <c r="E10" s="34">
        <v>40.090000000000003</v>
      </c>
      <c r="F10" s="34">
        <v>11.83</v>
      </c>
      <c r="G10" s="34">
        <v>12.57</v>
      </c>
      <c r="H10" s="34">
        <v>3.9</v>
      </c>
      <c r="I10" s="34">
        <v>62.57</v>
      </c>
      <c r="J10" s="33">
        <f t="shared" si="3"/>
        <v>98.74</v>
      </c>
      <c r="K10" s="34">
        <v>4.4000000000000004</v>
      </c>
      <c r="L10" s="34">
        <v>2.08</v>
      </c>
      <c r="M10" s="34">
        <v>18.68</v>
      </c>
      <c r="N10" s="34">
        <v>5.91</v>
      </c>
      <c r="O10" s="34">
        <v>16.989999999999998</v>
      </c>
      <c r="P10" s="34">
        <v>6.02</v>
      </c>
      <c r="Q10" s="34">
        <v>13.69</v>
      </c>
      <c r="R10" s="34">
        <v>30.97</v>
      </c>
    </row>
    <row r="11" spans="1:18" x14ac:dyDescent="0.2">
      <c r="A11" s="4" t="s">
        <v>23</v>
      </c>
      <c r="B11" s="33">
        <f t="shared" si="1"/>
        <v>339.24</v>
      </c>
      <c r="C11" s="33">
        <f t="shared" si="2"/>
        <v>241.64999999999998</v>
      </c>
      <c r="D11" s="34">
        <v>116.89</v>
      </c>
      <c r="E11" s="34">
        <v>33.46</v>
      </c>
      <c r="F11" s="34">
        <v>11.26</v>
      </c>
      <c r="G11" s="34">
        <v>12.67</v>
      </c>
      <c r="H11" s="34">
        <v>4.62</v>
      </c>
      <c r="I11" s="34">
        <v>62.75</v>
      </c>
      <c r="J11" s="33">
        <f t="shared" si="3"/>
        <v>97.59</v>
      </c>
      <c r="K11" s="34">
        <v>4.33</v>
      </c>
      <c r="L11" s="34">
        <v>1.86</v>
      </c>
      <c r="M11" s="34">
        <v>18.3</v>
      </c>
      <c r="N11" s="34">
        <v>5.82</v>
      </c>
      <c r="O11" s="34">
        <v>16.59</v>
      </c>
      <c r="P11" s="34">
        <v>4.8899999999999997</v>
      </c>
      <c r="Q11" s="34">
        <v>13.28</v>
      </c>
      <c r="R11" s="34">
        <v>32.519999999999996</v>
      </c>
    </row>
    <row r="12" spans="1:18" x14ac:dyDescent="0.2">
      <c r="A12" s="4" t="s">
        <v>24</v>
      </c>
      <c r="B12" s="33">
        <f t="shared" si="1"/>
        <v>333.65899999999999</v>
      </c>
      <c r="C12" s="33">
        <f t="shared" si="2"/>
        <v>238.02</v>
      </c>
      <c r="D12" s="34">
        <v>114.1</v>
      </c>
      <c r="E12" s="34">
        <v>36.99</v>
      </c>
      <c r="F12" s="34">
        <v>12.05</v>
      </c>
      <c r="G12" s="34">
        <v>13.1</v>
      </c>
      <c r="H12" s="34">
        <v>4.1500000000000004</v>
      </c>
      <c r="I12" s="34">
        <v>57.63</v>
      </c>
      <c r="J12" s="33">
        <f t="shared" si="3"/>
        <v>95.63900000000001</v>
      </c>
      <c r="K12" s="34">
        <v>4.4400000000000004</v>
      </c>
      <c r="L12" s="34">
        <v>1.85</v>
      </c>
      <c r="M12" s="34">
        <v>19.16</v>
      </c>
      <c r="N12" s="34">
        <v>4.8600000000000003</v>
      </c>
      <c r="O12" s="34">
        <v>14.09</v>
      </c>
      <c r="P12" s="34">
        <v>5.92</v>
      </c>
      <c r="Q12" s="34">
        <v>13.599</v>
      </c>
      <c r="R12" s="34">
        <v>31.72</v>
      </c>
    </row>
    <row r="13" spans="1:18" x14ac:dyDescent="0.2">
      <c r="A13" s="4" t="s">
        <v>25</v>
      </c>
      <c r="B13" s="33">
        <f t="shared" si="1"/>
        <v>351.42</v>
      </c>
      <c r="C13" s="33">
        <f t="shared" si="2"/>
        <v>256.75</v>
      </c>
      <c r="D13" s="34">
        <v>115.86</v>
      </c>
      <c r="E13" s="34">
        <v>38.799999999999997</v>
      </c>
      <c r="F13" s="34">
        <v>14.05</v>
      </c>
      <c r="G13" s="34">
        <v>14.31</v>
      </c>
      <c r="H13" s="34">
        <v>5.35</v>
      </c>
      <c r="I13" s="34">
        <v>68.38</v>
      </c>
      <c r="J13" s="33">
        <f t="shared" si="3"/>
        <v>94.67</v>
      </c>
      <c r="K13" s="34">
        <v>4.6100000000000003</v>
      </c>
      <c r="L13" s="34">
        <v>1.78</v>
      </c>
      <c r="M13" s="34">
        <v>20.13</v>
      </c>
      <c r="N13" s="34">
        <v>4</v>
      </c>
      <c r="O13" s="34">
        <v>14.05</v>
      </c>
      <c r="P13" s="34">
        <v>6.05</v>
      </c>
      <c r="Q13" s="34">
        <v>13.17</v>
      </c>
      <c r="R13" s="34">
        <v>30.88</v>
      </c>
    </row>
    <row r="14" spans="1:18" x14ac:dyDescent="0.2">
      <c r="A14" s="4" t="s">
        <v>26</v>
      </c>
      <c r="B14" s="33">
        <f t="shared" si="1"/>
        <v>344.97</v>
      </c>
      <c r="C14" s="33">
        <f t="shared" si="2"/>
        <v>245</v>
      </c>
      <c r="D14" s="34">
        <v>122.48</v>
      </c>
      <c r="E14" s="34">
        <v>37.72</v>
      </c>
      <c r="F14" s="34">
        <v>12.85</v>
      </c>
      <c r="G14" s="34">
        <v>13.14</v>
      </c>
      <c r="H14" s="34">
        <v>5.03</v>
      </c>
      <c r="I14" s="34">
        <v>53.78</v>
      </c>
      <c r="J14" s="33">
        <f t="shared" si="3"/>
        <v>99.97</v>
      </c>
      <c r="K14" s="34">
        <v>4.7699999999999996</v>
      </c>
      <c r="L14" s="34">
        <v>1.79</v>
      </c>
      <c r="M14" s="34">
        <v>19.829999999999998</v>
      </c>
      <c r="N14" s="34">
        <v>4.13</v>
      </c>
      <c r="O14" s="34">
        <v>19.149999999999999</v>
      </c>
      <c r="P14" s="34">
        <v>5.99</v>
      </c>
      <c r="Q14" s="34">
        <v>12.42</v>
      </c>
      <c r="R14" s="34">
        <v>31.89</v>
      </c>
    </row>
    <row r="15" spans="1:18" x14ac:dyDescent="0.2">
      <c r="A15" s="4" t="s">
        <v>27</v>
      </c>
      <c r="B15" s="33">
        <f t="shared" si="1"/>
        <v>339.14</v>
      </c>
      <c r="C15" s="33">
        <f t="shared" si="2"/>
        <v>245.49</v>
      </c>
      <c r="D15" s="34">
        <v>137.22</v>
      </c>
      <c r="E15" s="34">
        <v>35.200000000000003</v>
      </c>
      <c r="F15" s="34">
        <v>11.11</v>
      </c>
      <c r="G15" s="34">
        <v>10.48</v>
      </c>
      <c r="H15" s="34">
        <v>4.22</v>
      </c>
      <c r="I15" s="34">
        <v>47.26</v>
      </c>
      <c r="J15" s="33">
        <f t="shared" si="3"/>
        <v>93.649999999999991</v>
      </c>
      <c r="K15" s="34">
        <v>3.72</v>
      </c>
      <c r="L15" s="34">
        <v>1.63</v>
      </c>
      <c r="M15" s="34">
        <v>16.54</v>
      </c>
      <c r="N15" s="34">
        <v>5.09</v>
      </c>
      <c r="O15" s="34">
        <v>17.82</v>
      </c>
      <c r="P15" s="34">
        <v>5.15</v>
      </c>
      <c r="Q15" s="34">
        <v>11.87</v>
      </c>
      <c r="R15" s="34">
        <f>19.68+12.15</f>
        <v>31.83</v>
      </c>
    </row>
    <row r="16" spans="1:18" x14ac:dyDescent="0.2">
      <c r="A16" s="4" t="s">
        <v>28</v>
      </c>
      <c r="B16" s="33">
        <f t="shared" si="1"/>
        <v>374.59000000000003</v>
      </c>
      <c r="C16" s="33">
        <f t="shared" si="2"/>
        <v>275.06</v>
      </c>
      <c r="D16" s="34">
        <v>146.33000000000001</v>
      </c>
      <c r="E16" s="34">
        <v>44.02</v>
      </c>
      <c r="F16" s="34">
        <v>13.85</v>
      </c>
      <c r="G16" s="34">
        <v>13.55</v>
      </c>
      <c r="H16" s="34">
        <v>4.7300000000000004</v>
      </c>
      <c r="I16" s="34">
        <v>52.58</v>
      </c>
      <c r="J16" s="33">
        <f>SUM(K16:R16)</f>
        <v>99.53</v>
      </c>
      <c r="K16" s="34">
        <v>4.67</v>
      </c>
      <c r="L16" s="34">
        <v>2.21</v>
      </c>
      <c r="M16" s="34">
        <v>20.55</v>
      </c>
      <c r="N16" s="34">
        <v>3.96</v>
      </c>
      <c r="O16" s="34">
        <v>16.05</v>
      </c>
      <c r="P16" s="34">
        <v>5.49</v>
      </c>
      <c r="Q16" s="34">
        <v>15.23</v>
      </c>
      <c r="R16" s="34">
        <f>20.15+11.22</f>
        <v>31.369999999999997</v>
      </c>
    </row>
    <row r="17" spans="1:18" x14ac:dyDescent="0.2">
      <c r="A17" s="4" t="s">
        <v>29</v>
      </c>
      <c r="B17" s="33">
        <f t="shared" si="1"/>
        <v>361.11</v>
      </c>
      <c r="C17" s="33">
        <f t="shared" si="2"/>
        <v>277.12</v>
      </c>
      <c r="D17" s="34">
        <v>144.80000000000001</v>
      </c>
      <c r="E17" s="34">
        <v>40.43</v>
      </c>
      <c r="F17" s="34">
        <v>10.38</v>
      </c>
      <c r="G17" s="34">
        <v>11.79</v>
      </c>
      <c r="H17" s="34">
        <v>4.3499999999999996</v>
      </c>
      <c r="I17" s="34">
        <v>65.37</v>
      </c>
      <c r="J17" s="33">
        <f t="shared" si="3"/>
        <v>83.990000000000009</v>
      </c>
      <c r="K17" s="34">
        <v>4.24</v>
      </c>
      <c r="L17" s="34">
        <v>0.95</v>
      </c>
      <c r="M17" s="34">
        <v>16.13</v>
      </c>
      <c r="N17" s="34">
        <v>3.73</v>
      </c>
      <c r="O17" s="34">
        <v>12.32</v>
      </c>
      <c r="P17" s="34">
        <v>5.24</v>
      </c>
      <c r="Q17" s="34">
        <v>12.34</v>
      </c>
      <c r="R17" s="34">
        <f>11.55+17.49</f>
        <v>29.04</v>
      </c>
    </row>
    <row r="18" spans="1:18" x14ac:dyDescent="0.2">
      <c r="A18" s="4" t="s">
        <v>30</v>
      </c>
      <c r="B18" s="33">
        <f t="shared" si="1"/>
        <v>350.84</v>
      </c>
      <c r="C18" s="33">
        <f t="shared" si="2"/>
        <v>260.90999999999997</v>
      </c>
      <c r="D18" s="34">
        <v>134.6</v>
      </c>
      <c r="E18" s="34">
        <v>33.35</v>
      </c>
      <c r="F18" s="34">
        <v>13.08</v>
      </c>
      <c r="G18" s="34">
        <v>13.34</v>
      </c>
      <c r="H18" s="34">
        <v>4.3899999999999997</v>
      </c>
      <c r="I18" s="34">
        <v>62.15</v>
      </c>
      <c r="J18" s="33">
        <f t="shared" si="3"/>
        <v>89.929999999999993</v>
      </c>
      <c r="K18" s="34">
        <v>4.9800000000000004</v>
      </c>
      <c r="L18" s="34">
        <v>1.41</v>
      </c>
      <c r="M18" s="34">
        <v>15.85</v>
      </c>
      <c r="N18" s="34">
        <v>4.08</v>
      </c>
      <c r="O18" s="34">
        <v>13.51</v>
      </c>
      <c r="P18" s="34">
        <v>6.05</v>
      </c>
      <c r="Q18" s="34">
        <v>12.76</v>
      </c>
      <c r="R18" s="34">
        <f>18.55+12.74</f>
        <v>31.29</v>
      </c>
    </row>
    <row r="19" spans="1:18" x14ac:dyDescent="0.2">
      <c r="A19" s="32" t="s">
        <v>31</v>
      </c>
      <c r="B19" s="35">
        <f t="shared" si="1"/>
        <v>397.43000000000006</v>
      </c>
      <c r="C19" s="35">
        <f t="shared" si="2"/>
        <v>311.10000000000002</v>
      </c>
      <c r="D19" s="36">
        <v>156.93</v>
      </c>
      <c r="E19" s="36">
        <v>34.24</v>
      </c>
      <c r="F19" s="36">
        <v>14</v>
      </c>
      <c r="G19" s="36">
        <v>14.27</v>
      </c>
      <c r="H19" s="36">
        <v>6.61</v>
      </c>
      <c r="I19" s="36">
        <v>85.05</v>
      </c>
      <c r="J19" s="35">
        <f t="shared" si="3"/>
        <v>86.330000000000013</v>
      </c>
      <c r="K19" s="36">
        <v>5.22</v>
      </c>
      <c r="L19" s="36">
        <v>1.63</v>
      </c>
      <c r="M19" s="36">
        <v>13.49</v>
      </c>
      <c r="N19" s="36">
        <v>3.48</v>
      </c>
      <c r="O19" s="36">
        <v>13.32</v>
      </c>
      <c r="P19" s="36">
        <v>6.07</v>
      </c>
      <c r="Q19" s="36">
        <v>11.41</v>
      </c>
      <c r="R19" s="36">
        <f>12.67+19.04</f>
        <v>31.71</v>
      </c>
    </row>
    <row r="20" spans="1:18" x14ac:dyDescent="0.2">
      <c r="A20" s="10" t="s">
        <v>55</v>
      </c>
      <c r="B20" s="15"/>
      <c r="C20" s="15"/>
      <c r="D20" s="7"/>
      <c r="E20" s="7"/>
      <c r="F20" s="7"/>
      <c r="G20" s="7"/>
      <c r="H20" s="7"/>
      <c r="I20" s="7"/>
      <c r="J20" s="15"/>
      <c r="K20" s="7"/>
      <c r="L20" s="7"/>
      <c r="M20" s="7"/>
      <c r="N20" s="7"/>
      <c r="O20" s="7"/>
      <c r="P20" s="7"/>
      <c r="Q20" s="7"/>
      <c r="R20" s="7"/>
    </row>
    <row r="21" spans="1:18" ht="11.25" customHeight="1" x14ac:dyDescent="0.2">
      <c r="A21" s="10" t="s">
        <v>51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ht="11.25" customHeight="1" x14ac:dyDescent="0.2">
      <c r="A22" s="11" t="s">
        <v>56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ht="11.25" customHeight="1" x14ac:dyDescent="0.2">
      <c r="A23" s="9" t="s">
        <v>57</v>
      </c>
      <c r="B23" s="9"/>
      <c r="C23" s="9"/>
      <c r="D23" s="9"/>
      <c r="E23" s="9"/>
      <c r="F23" s="9"/>
      <c r="G23" s="9"/>
      <c r="H23" s="9"/>
      <c r="I23" s="9"/>
      <c r="J23" s="9"/>
      <c r="K23" s="10"/>
      <c r="L23" s="10"/>
      <c r="M23" s="10"/>
      <c r="N23" s="10"/>
      <c r="O23" s="10"/>
      <c r="P23" s="10"/>
      <c r="Q23" s="10"/>
      <c r="R23" s="10"/>
    </row>
    <row r="24" spans="1:18" x14ac:dyDescent="0.2">
      <c r="K24" s="6"/>
      <c r="L24" s="6"/>
      <c r="M24" s="6"/>
      <c r="N24" s="6"/>
      <c r="O24" s="6"/>
      <c r="P24" s="6"/>
      <c r="Q24" s="6"/>
      <c r="R24" s="6"/>
    </row>
  </sheetData>
  <mergeCells count="5">
    <mergeCell ref="A1:R1"/>
    <mergeCell ref="A5:A6"/>
    <mergeCell ref="B5:B6"/>
    <mergeCell ref="C5:I5"/>
    <mergeCell ref="J5:R5"/>
  </mergeCells>
  <pageMargins left="0.7" right="0.7" top="0.75" bottom="0.75" header="0.3" footer="0.3"/>
  <pageSetup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2"/>
  <sheetViews>
    <sheetView workbookViewId="0">
      <selection activeCell="A22" sqref="A22"/>
    </sheetView>
  </sheetViews>
  <sheetFormatPr baseColWidth="10" defaultColWidth="11.42578125" defaultRowHeight="15" x14ac:dyDescent="0.25"/>
  <cols>
    <col min="1" max="4" width="11.42578125" style="1"/>
    <col min="5" max="5" width="12.140625" style="1" customWidth="1"/>
    <col min="6" max="16384" width="11.42578125" style="1"/>
  </cols>
  <sheetData>
    <row r="1" spans="1:15" x14ac:dyDescent="0.25">
      <c r="A1" s="2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A4" s="45" t="s">
        <v>1</v>
      </c>
      <c r="B4" s="47" t="s">
        <v>2</v>
      </c>
      <c r="C4" s="49" t="s">
        <v>3</v>
      </c>
      <c r="D4" s="49"/>
      <c r="E4" s="49"/>
      <c r="F4" s="49"/>
      <c r="G4" s="49"/>
      <c r="H4" s="49"/>
      <c r="I4" s="49"/>
      <c r="J4" s="47" t="s">
        <v>4</v>
      </c>
      <c r="K4" s="47"/>
      <c r="L4" s="47"/>
      <c r="M4" s="47"/>
      <c r="N4" s="47"/>
      <c r="O4" s="47"/>
    </row>
    <row r="5" spans="1:15" ht="36" x14ac:dyDescent="0.25">
      <c r="A5" s="46"/>
      <c r="B5" s="48"/>
      <c r="C5" s="12" t="s">
        <v>33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35</v>
      </c>
      <c r="J5" s="13" t="s">
        <v>11</v>
      </c>
      <c r="K5" s="12" t="s">
        <v>12</v>
      </c>
      <c r="L5" s="12" t="s">
        <v>13</v>
      </c>
      <c r="M5" s="12" t="s">
        <v>14</v>
      </c>
      <c r="N5" s="12" t="s">
        <v>16</v>
      </c>
      <c r="O5" s="12" t="s">
        <v>19</v>
      </c>
    </row>
    <row r="6" spans="1:15" x14ac:dyDescent="0.25">
      <c r="A6" s="14" t="s">
        <v>52</v>
      </c>
      <c r="B6" s="33">
        <f>AVERAGE(B7:B18)</f>
        <v>414.54641666666663</v>
      </c>
      <c r="C6" s="33">
        <f>AVERAGE(C7:C18)</f>
        <v>300.72674999999998</v>
      </c>
      <c r="D6" s="33">
        <f t="shared" ref="D6:O6" si="0">AVERAGE(D7:D18)</f>
        <v>146.54241666666667</v>
      </c>
      <c r="E6" s="33">
        <f t="shared" si="0"/>
        <v>47.145000000000003</v>
      </c>
      <c r="F6" s="33">
        <f t="shared" si="0"/>
        <v>21.136083333333335</v>
      </c>
      <c r="G6" s="33">
        <f t="shared" si="0"/>
        <v>12.791583333333335</v>
      </c>
      <c r="H6" s="33">
        <f t="shared" si="0"/>
        <v>7.3226666666666675</v>
      </c>
      <c r="I6" s="33">
        <f t="shared" si="0"/>
        <v>65.789000000000001</v>
      </c>
      <c r="J6" s="33">
        <f t="shared" si="0"/>
        <v>113.81966666666666</v>
      </c>
      <c r="K6" s="33">
        <f t="shared" si="0"/>
        <v>4.0844999999999994</v>
      </c>
      <c r="L6" s="33">
        <f t="shared" si="0"/>
        <v>3.8039166666666673</v>
      </c>
      <c r="M6" s="33">
        <f t="shared" si="0"/>
        <v>19.9465</v>
      </c>
      <c r="N6" s="33">
        <f t="shared" si="0"/>
        <v>22.543583333333334</v>
      </c>
      <c r="O6" s="33">
        <f t="shared" si="0"/>
        <v>63.441166666666675</v>
      </c>
    </row>
    <row r="7" spans="1:15" x14ac:dyDescent="0.25">
      <c r="A7" s="4" t="s">
        <v>20</v>
      </c>
      <c r="B7" s="33">
        <f>SUM(C7,J7)</f>
        <v>411.79599999999999</v>
      </c>
      <c r="C7" s="33">
        <f>SUM(D7:I7)</f>
        <v>305.61799999999999</v>
      </c>
      <c r="D7" s="34">
        <v>150.417</v>
      </c>
      <c r="E7" s="34">
        <v>43.99</v>
      </c>
      <c r="F7" s="34">
        <v>22.215</v>
      </c>
      <c r="G7" s="34">
        <v>13.44</v>
      </c>
      <c r="H7" s="34">
        <v>7.5830000000000002</v>
      </c>
      <c r="I7" s="34">
        <v>67.972999999999999</v>
      </c>
      <c r="J7" s="33">
        <f>SUM(K7:O7)</f>
        <v>106.178</v>
      </c>
      <c r="K7" s="34">
        <v>3.8010000000000002</v>
      </c>
      <c r="L7" s="34">
        <v>3.9820000000000002</v>
      </c>
      <c r="M7" s="34">
        <v>18.460999999999999</v>
      </c>
      <c r="N7" s="34">
        <v>18.995999999999999</v>
      </c>
      <c r="O7" s="34">
        <f>20.492+40.446</f>
        <v>60.938000000000002</v>
      </c>
    </row>
    <row r="8" spans="1:15" x14ac:dyDescent="0.25">
      <c r="A8" s="4" t="s">
        <v>21</v>
      </c>
      <c r="B8" s="33">
        <f t="shared" ref="B8:B14" si="1">SUM(C8,J8)</f>
        <v>403.04999999999995</v>
      </c>
      <c r="C8" s="33">
        <f t="shared" ref="C8:C14" si="2">SUM(D8:I8)</f>
        <v>295.53999999999996</v>
      </c>
      <c r="D8" s="34">
        <v>148.56</v>
      </c>
      <c r="E8" s="34">
        <v>37.200000000000003</v>
      </c>
      <c r="F8" s="34">
        <v>21.92</v>
      </c>
      <c r="G8" s="34">
        <v>13.01</v>
      </c>
      <c r="H8" s="34">
        <v>7</v>
      </c>
      <c r="I8" s="34">
        <v>67.849999999999994</v>
      </c>
      <c r="J8" s="33">
        <f>SUM(K8:O8)</f>
        <v>107.51</v>
      </c>
      <c r="K8" s="34">
        <v>3.7</v>
      </c>
      <c r="L8" s="34">
        <v>5.53</v>
      </c>
      <c r="M8" s="34">
        <v>17.559999999999999</v>
      </c>
      <c r="N8" s="34">
        <v>19.8</v>
      </c>
      <c r="O8" s="34">
        <f>21.49+39.43</f>
        <v>60.92</v>
      </c>
    </row>
    <row r="9" spans="1:15" x14ac:dyDescent="0.25">
      <c r="A9" s="4" t="s">
        <v>22</v>
      </c>
      <c r="B9" s="33">
        <f t="shared" si="1"/>
        <v>396.75700000000001</v>
      </c>
      <c r="C9" s="33">
        <f t="shared" si="2"/>
        <v>289.28399999999999</v>
      </c>
      <c r="D9" s="34">
        <v>147.98500000000001</v>
      </c>
      <c r="E9" s="34">
        <v>42.295999999999999</v>
      </c>
      <c r="F9" s="34">
        <v>19.940000000000001</v>
      </c>
      <c r="G9" s="34">
        <v>13.385999999999999</v>
      </c>
      <c r="H9" s="34">
        <v>6.3730000000000002</v>
      </c>
      <c r="I9" s="34">
        <v>59.304000000000002</v>
      </c>
      <c r="J9" s="33">
        <f>SUM(K9:O9)</f>
        <v>107.47300000000001</v>
      </c>
      <c r="K9" s="34">
        <v>4.5330000000000004</v>
      </c>
      <c r="L9" s="34">
        <v>4.6340000000000003</v>
      </c>
      <c r="M9" s="34">
        <v>16.905000000000001</v>
      </c>
      <c r="N9" s="34">
        <v>19.829000000000001</v>
      </c>
      <c r="O9" s="34">
        <f>22.398+39.174</f>
        <v>61.572000000000003</v>
      </c>
    </row>
    <row r="10" spans="1:15" x14ac:dyDescent="0.25">
      <c r="A10" s="4" t="s">
        <v>23</v>
      </c>
      <c r="B10" s="33">
        <f t="shared" si="1"/>
        <v>388.57400000000001</v>
      </c>
      <c r="C10" s="33">
        <f t="shared" si="2"/>
        <v>281.58600000000001</v>
      </c>
      <c r="D10" s="34">
        <v>147.059</v>
      </c>
      <c r="E10" s="34">
        <v>39.593000000000004</v>
      </c>
      <c r="F10" s="34">
        <v>17.507000000000001</v>
      </c>
      <c r="G10" s="34">
        <v>13.058999999999999</v>
      </c>
      <c r="H10" s="34">
        <v>7.625</v>
      </c>
      <c r="I10" s="34">
        <v>56.743000000000002</v>
      </c>
      <c r="J10" s="33">
        <f>SUM(K10:O10)</f>
        <v>106.988</v>
      </c>
      <c r="K10" s="34">
        <v>4.319</v>
      </c>
      <c r="L10" s="34">
        <v>3.9239999999999999</v>
      </c>
      <c r="M10" s="34">
        <v>16.234000000000002</v>
      </c>
      <c r="N10" s="34">
        <v>19.734000000000002</v>
      </c>
      <c r="O10" s="34">
        <f>22.216+40.561</f>
        <v>62.777000000000001</v>
      </c>
    </row>
    <row r="11" spans="1:15" x14ac:dyDescent="0.25">
      <c r="A11" s="4" t="s">
        <v>24</v>
      </c>
      <c r="B11" s="33">
        <f t="shared" si="1"/>
        <v>413.62900000000002</v>
      </c>
      <c r="C11" s="33">
        <f t="shared" si="2"/>
        <v>301.72000000000003</v>
      </c>
      <c r="D11" s="34">
        <v>148.125</v>
      </c>
      <c r="E11" s="34">
        <v>49.356000000000002</v>
      </c>
      <c r="F11" s="34">
        <v>20.952999999999999</v>
      </c>
      <c r="G11" s="34">
        <v>12.332000000000001</v>
      </c>
      <c r="H11" s="34">
        <v>6.8360000000000003</v>
      </c>
      <c r="I11" s="34">
        <v>64.117999999999995</v>
      </c>
      <c r="J11" s="33">
        <f t="shared" ref="J11:J18" si="3">SUM(K11:O11)</f>
        <v>111.90900000000001</v>
      </c>
      <c r="K11" s="34">
        <v>5.1390000000000002</v>
      </c>
      <c r="L11" s="34">
        <v>4.3120000000000003</v>
      </c>
      <c r="M11" s="34">
        <v>16.715</v>
      </c>
      <c r="N11" s="34">
        <v>19.844000000000001</v>
      </c>
      <c r="O11" s="34">
        <f>22.657+43.242</f>
        <v>65.899000000000001</v>
      </c>
    </row>
    <row r="12" spans="1:15" x14ac:dyDescent="0.25">
      <c r="A12" s="4" t="s">
        <v>25</v>
      </c>
      <c r="B12" s="33">
        <f t="shared" si="1"/>
        <v>411.42400000000004</v>
      </c>
      <c r="C12" s="33">
        <f t="shared" si="2"/>
        <v>296.90800000000002</v>
      </c>
      <c r="D12" s="34">
        <v>142.56200000000001</v>
      </c>
      <c r="E12" s="34">
        <v>47.945</v>
      </c>
      <c r="F12" s="34">
        <v>20.204999999999998</v>
      </c>
      <c r="G12" s="34">
        <v>12.055999999999999</v>
      </c>
      <c r="H12" s="34">
        <v>6.9329999999999998</v>
      </c>
      <c r="I12" s="34">
        <v>67.206999999999994</v>
      </c>
      <c r="J12" s="33">
        <f t="shared" si="3"/>
        <v>114.51600000000001</v>
      </c>
      <c r="K12" s="34">
        <v>5.5789999999999997</v>
      </c>
      <c r="L12" s="34">
        <v>3.0569999999999999</v>
      </c>
      <c r="M12" s="34">
        <v>17.937999999999999</v>
      </c>
      <c r="N12" s="34">
        <v>22.989000000000001</v>
      </c>
      <c r="O12" s="34">
        <f>22.213+42.74</f>
        <v>64.953000000000003</v>
      </c>
    </row>
    <row r="13" spans="1:15" x14ac:dyDescent="0.25">
      <c r="A13" s="4" t="s">
        <v>26</v>
      </c>
      <c r="B13" s="33">
        <f t="shared" si="1"/>
        <v>419.23799999999994</v>
      </c>
      <c r="C13" s="33">
        <f t="shared" si="2"/>
        <v>300.82899999999995</v>
      </c>
      <c r="D13" s="34">
        <v>146.35</v>
      </c>
      <c r="E13" s="34">
        <v>47.944000000000003</v>
      </c>
      <c r="F13" s="34">
        <v>20.56</v>
      </c>
      <c r="G13" s="34">
        <v>12.635999999999999</v>
      </c>
      <c r="H13" s="34">
        <v>7.2130000000000001</v>
      </c>
      <c r="I13" s="34">
        <v>66.126000000000005</v>
      </c>
      <c r="J13" s="33">
        <f t="shared" si="3"/>
        <v>118.40900000000001</v>
      </c>
      <c r="K13" s="34">
        <v>4.5999999999999996</v>
      </c>
      <c r="L13" s="34">
        <v>3.9489999999999998</v>
      </c>
      <c r="M13" s="34">
        <v>21.721</v>
      </c>
      <c r="N13" s="34">
        <v>25.126000000000001</v>
      </c>
      <c r="O13" s="34">
        <f>21.813+41.2</f>
        <v>63.013000000000005</v>
      </c>
    </row>
    <row r="14" spans="1:15" x14ac:dyDescent="0.25">
      <c r="A14" s="4" t="s">
        <v>27</v>
      </c>
      <c r="B14" s="33">
        <f t="shared" si="1"/>
        <v>421.50400000000002</v>
      </c>
      <c r="C14" s="33">
        <f t="shared" si="2"/>
        <v>304.55400000000003</v>
      </c>
      <c r="D14" s="34">
        <v>146.90700000000001</v>
      </c>
      <c r="E14" s="34">
        <v>47.465000000000003</v>
      </c>
      <c r="F14" s="34">
        <v>22.045999999999999</v>
      </c>
      <c r="G14" s="34">
        <v>13.44</v>
      </c>
      <c r="H14" s="34">
        <v>7.6440000000000001</v>
      </c>
      <c r="I14" s="34">
        <v>67.052000000000007</v>
      </c>
      <c r="J14" s="33">
        <f t="shared" si="3"/>
        <v>116.95</v>
      </c>
      <c r="K14" s="34">
        <v>4.45</v>
      </c>
      <c r="L14" s="34">
        <v>4.2720000000000002</v>
      </c>
      <c r="M14" s="34">
        <v>21.895</v>
      </c>
      <c r="N14" s="34">
        <v>24.968</v>
      </c>
      <c r="O14" s="34">
        <f>21.295+40.07</f>
        <v>61.365000000000002</v>
      </c>
    </row>
    <row r="15" spans="1:15" x14ac:dyDescent="0.25">
      <c r="A15" s="4" t="s">
        <v>28</v>
      </c>
      <c r="B15" s="33">
        <f t="shared" ref="B15:B18" si="4">SUM(C15,J15)</f>
        <v>431.25900000000001</v>
      </c>
      <c r="C15" s="33">
        <f t="shared" ref="C15:C18" si="5">SUM(D15:I15)</f>
        <v>312.21300000000002</v>
      </c>
      <c r="D15" s="34">
        <v>146.38300000000001</v>
      </c>
      <c r="E15" s="34">
        <v>52.084000000000003</v>
      </c>
      <c r="F15" s="34">
        <v>22.667999999999999</v>
      </c>
      <c r="G15" s="34">
        <v>13.44</v>
      </c>
      <c r="H15" s="34">
        <v>8.4640000000000004</v>
      </c>
      <c r="I15" s="34">
        <v>69.174000000000007</v>
      </c>
      <c r="J15" s="33">
        <f t="shared" si="3"/>
        <v>119.04599999999999</v>
      </c>
      <c r="K15" s="34">
        <v>4.05</v>
      </c>
      <c r="L15" s="34">
        <v>3.7</v>
      </c>
      <c r="M15" s="34">
        <v>23.513999999999999</v>
      </c>
      <c r="N15" s="34">
        <v>25.451000000000001</v>
      </c>
      <c r="O15" s="34">
        <f>20.854+41.477</f>
        <v>62.330999999999996</v>
      </c>
    </row>
    <row r="16" spans="1:15" x14ac:dyDescent="0.25">
      <c r="A16" s="4" t="s">
        <v>29</v>
      </c>
      <c r="B16" s="33">
        <f t="shared" si="4"/>
        <v>426.95500000000004</v>
      </c>
      <c r="C16" s="33">
        <f t="shared" si="5"/>
        <v>305.89100000000002</v>
      </c>
      <c r="D16" s="34">
        <v>144.863</v>
      </c>
      <c r="E16" s="34">
        <v>52.377000000000002</v>
      </c>
      <c r="F16" s="34">
        <v>21.907</v>
      </c>
      <c r="G16" s="34">
        <v>12.97</v>
      </c>
      <c r="H16" s="34">
        <v>6.319</v>
      </c>
      <c r="I16" s="34">
        <v>67.454999999999998</v>
      </c>
      <c r="J16" s="33">
        <f t="shared" si="3"/>
        <v>121.06399999999999</v>
      </c>
      <c r="K16" s="34">
        <v>3.5129999999999999</v>
      </c>
      <c r="L16" s="34">
        <v>2.8929999999999998</v>
      </c>
      <c r="M16" s="34">
        <v>23.626999999999999</v>
      </c>
      <c r="N16" s="34">
        <v>25.199000000000002</v>
      </c>
      <c r="O16" s="34">
        <f>21.955+43.877</f>
        <v>65.831999999999994</v>
      </c>
    </row>
    <row r="17" spans="1:15" x14ac:dyDescent="0.25">
      <c r="A17" s="4" t="s">
        <v>30</v>
      </c>
      <c r="B17" s="33">
        <f t="shared" si="4"/>
        <v>424.65699999999998</v>
      </c>
      <c r="C17" s="33">
        <f t="shared" si="5"/>
        <v>306.14499999999998</v>
      </c>
      <c r="D17" s="34">
        <v>145.56</v>
      </c>
      <c r="E17" s="34">
        <v>51.094999999999999</v>
      </c>
      <c r="F17" s="34">
        <v>22.227</v>
      </c>
      <c r="G17" s="34">
        <v>11.977</v>
      </c>
      <c r="H17" s="34">
        <v>7.54</v>
      </c>
      <c r="I17" s="34">
        <v>67.745999999999995</v>
      </c>
      <c r="J17" s="33">
        <f t="shared" si="3"/>
        <v>118.512</v>
      </c>
      <c r="K17" s="34">
        <v>3.5920000000000001</v>
      </c>
      <c r="L17" s="34">
        <v>3.2519999999999998</v>
      </c>
      <c r="M17" s="34">
        <v>23.332999999999998</v>
      </c>
      <c r="N17" s="34">
        <v>23.654</v>
      </c>
      <c r="O17" s="34">
        <f>23.085+41.596</f>
        <v>64.680999999999997</v>
      </c>
    </row>
    <row r="18" spans="1:15" x14ac:dyDescent="0.25">
      <c r="A18" s="32" t="s">
        <v>31</v>
      </c>
      <c r="B18" s="35">
        <f t="shared" si="4"/>
        <v>425.714</v>
      </c>
      <c r="C18" s="35">
        <f t="shared" si="5"/>
        <v>308.43299999999999</v>
      </c>
      <c r="D18" s="36">
        <v>143.738</v>
      </c>
      <c r="E18" s="36">
        <v>54.395000000000003</v>
      </c>
      <c r="F18" s="36">
        <v>21.484999999999999</v>
      </c>
      <c r="G18" s="36">
        <v>11.753</v>
      </c>
      <c r="H18" s="36">
        <v>8.3420000000000005</v>
      </c>
      <c r="I18" s="36">
        <v>68.72</v>
      </c>
      <c r="J18" s="35">
        <f t="shared" si="3"/>
        <v>117.28100000000001</v>
      </c>
      <c r="K18" s="36">
        <v>1.738</v>
      </c>
      <c r="L18" s="36">
        <v>2.1419999999999999</v>
      </c>
      <c r="M18" s="36">
        <v>21.454999999999998</v>
      </c>
      <c r="N18" s="36">
        <v>24.933</v>
      </c>
      <c r="O18" s="36">
        <f>22.319+44.694</f>
        <v>67.013000000000005</v>
      </c>
    </row>
    <row r="19" spans="1:15" ht="10.5" customHeight="1" x14ac:dyDescent="0.25">
      <c r="A19" s="10" t="s">
        <v>55</v>
      </c>
      <c r="B19" s="15"/>
      <c r="C19" s="15"/>
      <c r="D19" s="7"/>
      <c r="E19" s="7"/>
      <c r="F19" s="7"/>
      <c r="G19" s="7"/>
      <c r="H19" s="7"/>
      <c r="I19" s="7"/>
      <c r="J19" s="15"/>
      <c r="K19" s="7"/>
      <c r="L19" s="7"/>
      <c r="M19" s="7"/>
      <c r="N19" s="7"/>
      <c r="O19" s="7"/>
    </row>
    <row r="20" spans="1:15" ht="10.5" customHeight="1" x14ac:dyDescent="0.25">
      <c r="A20" s="10" t="s">
        <v>46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ht="10.5" customHeight="1" x14ac:dyDescent="0.25">
      <c r="A21" s="10" t="s">
        <v>64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ht="10.5" customHeight="1" x14ac:dyDescent="0.25">
      <c r="A22" s="9" t="s">
        <v>60</v>
      </c>
      <c r="B22" s="9"/>
      <c r="C22" s="9"/>
      <c r="D22" s="9"/>
      <c r="E22" s="9"/>
      <c r="F22" s="9"/>
      <c r="G22" s="9"/>
      <c r="H22" s="9"/>
      <c r="I22" s="9"/>
      <c r="J22" s="9"/>
      <c r="K22" s="28"/>
      <c r="L22" s="28"/>
      <c r="M22" s="28"/>
      <c r="N22" s="28"/>
      <c r="O22" s="28"/>
    </row>
  </sheetData>
  <mergeCells count="4">
    <mergeCell ref="A4:A5"/>
    <mergeCell ref="B4:B5"/>
    <mergeCell ref="C4:I4"/>
    <mergeCell ref="J4:O4"/>
  </mergeCells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O23"/>
  <sheetViews>
    <sheetView workbookViewId="0">
      <selection activeCell="H26" sqref="H26"/>
    </sheetView>
  </sheetViews>
  <sheetFormatPr baseColWidth="10" defaultColWidth="11.42578125" defaultRowHeight="15" x14ac:dyDescent="0.25"/>
  <cols>
    <col min="1" max="4" width="11.42578125" style="1"/>
    <col min="5" max="5" width="12.140625" style="1" customWidth="1"/>
    <col min="6" max="16384" width="11.42578125" style="1"/>
  </cols>
  <sheetData>
    <row r="2" spans="1:15" x14ac:dyDescent="0.25">
      <c r="A2" s="2" t="s">
        <v>53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5">
      <c r="A5" s="45" t="s">
        <v>1</v>
      </c>
      <c r="B5" s="47" t="s">
        <v>2</v>
      </c>
      <c r="C5" s="49" t="s">
        <v>3</v>
      </c>
      <c r="D5" s="49"/>
      <c r="E5" s="49"/>
      <c r="F5" s="49"/>
      <c r="G5" s="49"/>
      <c r="H5" s="49"/>
      <c r="I5" s="49"/>
      <c r="J5" s="47" t="s">
        <v>4</v>
      </c>
      <c r="K5" s="47"/>
      <c r="L5" s="47"/>
      <c r="M5" s="47"/>
      <c r="N5" s="47"/>
      <c r="O5" s="47"/>
    </row>
    <row r="6" spans="1:15" ht="36" x14ac:dyDescent="0.25">
      <c r="A6" s="46"/>
      <c r="B6" s="48"/>
      <c r="C6" s="12" t="s">
        <v>33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35</v>
      </c>
      <c r="J6" s="13" t="s">
        <v>11</v>
      </c>
      <c r="K6" s="12" t="s">
        <v>12</v>
      </c>
      <c r="L6" s="12" t="s">
        <v>13</v>
      </c>
      <c r="M6" s="12" t="s">
        <v>14</v>
      </c>
      <c r="N6" s="12" t="s">
        <v>16</v>
      </c>
      <c r="O6" s="12" t="s">
        <v>19</v>
      </c>
    </row>
    <row r="7" spans="1:15" x14ac:dyDescent="0.25">
      <c r="A7" s="14" t="s">
        <v>52</v>
      </c>
      <c r="B7" s="33">
        <f>AVERAGE(B8:B11,B13,B16,B19)</f>
        <v>425.71714285714285</v>
      </c>
      <c r="C7" s="33">
        <f t="shared" ref="C7:J7" si="0">AVERAGE(C8:C11,C13,C16,C19)</f>
        <v>302.40514285714289</v>
      </c>
      <c r="D7" s="33">
        <f t="shared" si="0"/>
        <v>142.22271428571429</v>
      </c>
      <c r="E7" s="33">
        <f t="shared" si="0"/>
        <v>54.815857142857148</v>
      </c>
      <c r="F7" s="33">
        <f t="shared" si="0"/>
        <v>20.745142857142859</v>
      </c>
      <c r="G7" s="33">
        <f t="shared" si="0"/>
        <v>11.631428571428572</v>
      </c>
      <c r="H7" s="33">
        <f t="shared" si="0"/>
        <v>6.3239999999999998</v>
      </c>
      <c r="I7" s="33">
        <f t="shared" si="0"/>
        <v>66.666000000000011</v>
      </c>
      <c r="J7" s="33">
        <f t="shared" si="0"/>
        <v>123.31200000000001</v>
      </c>
      <c r="K7" s="33">
        <f t="shared" ref="K7:O7" si="1">AVERAGE(K8:K11,K13,K16,K19)</f>
        <v>5.3244285714285704</v>
      </c>
      <c r="L7" s="33">
        <f t="shared" si="1"/>
        <v>3.402857142857143</v>
      </c>
      <c r="M7" s="33">
        <f t="shared" si="1"/>
        <v>23.550428571428569</v>
      </c>
      <c r="N7" s="33">
        <f t="shared" si="1"/>
        <v>22.17942857142857</v>
      </c>
      <c r="O7" s="33">
        <f t="shared" si="1"/>
        <v>68.854857142857128</v>
      </c>
    </row>
    <row r="8" spans="1:15" x14ac:dyDescent="0.25">
      <c r="A8" s="4" t="s">
        <v>20</v>
      </c>
      <c r="B8" s="33">
        <f>SUM(C8,J8)</f>
        <v>416.19899999999996</v>
      </c>
      <c r="C8" s="33">
        <f>SUM(D8:I8)</f>
        <v>294.06099999999998</v>
      </c>
      <c r="D8" s="34">
        <v>141.114</v>
      </c>
      <c r="E8" s="34">
        <v>50.182000000000002</v>
      </c>
      <c r="F8" s="34">
        <v>20.344999999999999</v>
      </c>
      <c r="G8" s="34">
        <v>11.76</v>
      </c>
      <c r="H8" s="34">
        <v>6.4980000000000002</v>
      </c>
      <c r="I8" s="34">
        <v>64.162000000000006</v>
      </c>
      <c r="J8" s="33">
        <f>SUM(K8:O8)</f>
        <v>122.13800000000001</v>
      </c>
      <c r="K8" s="34">
        <v>5.3650000000000002</v>
      </c>
      <c r="L8" s="34">
        <v>3.956</v>
      </c>
      <c r="M8" s="34">
        <v>23.038</v>
      </c>
      <c r="N8" s="34">
        <v>25.265999999999998</v>
      </c>
      <c r="O8" s="34">
        <f>22.19+42.323</f>
        <v>64.513000000000005</v>
      </c>
    </row>
    <row r="9" spans="1:15" x14ac:dyDescent="0.25">
      <c r="A9" s="4" t="s">
        <v>21</v>
      </c>
      <c r="B9" s="33">
        <f t="shared" ref="B9:B19" si="2">SUM(C9,J9)</f>
        <v>418.34000000000003</v>
      </c>
      <c r="C9" s="33">
        <f t="shared" ref="C9:C19" si="3">SUM(D9:I9)</f>
        <v>297.608</v>
      </c>
      <c r="D9" s="34">
        <v>137.05199999999999</v>
      </c>
      <c r="E9" s="34">
        <v>53.179000000000002</v>
      </c>
      <c r="F9" s="34">
        <v>22.314</v>
      </c>
      <c r="G9" s="34">
        <v>11.696999999999999</v>
      </c>
      <c r="H9" s="34">
        <v>7.0919999999999996</v>
      </c>
      <c r="I9" s="34">
        <v>66.274000000000001</v>
      </c>
      <c r="J9" s="33">
        <f>SUM(K9:O9)</f>
        <v>120.732</v>
      </c>
      <c r="K9" s="34">
        <v>5.2009999999999996</v>
      </c>
      <c r="L9" s="34">
        <v>3.9609999999999999</v>
      </c>
      <c r="M9" s="34">
        <v>22.753</v>
      </c>
      <c r="N9" s="34">
        <v>22.753</v>
      </c>
      <c r="O9" s="34">
        <f>23.239+42.825</f>
        <v>66.064000000000007</v>
      </c>
    </row>
    <row r="10" spans="1:15" x14ac:dyDescent="0.25">
      <c r="A10" s="4" t="s">
        <v>22</v>
      </c>
      <c r="B10" s="33">
        <f t="shared" si="2"/>
        <v>427.09799999999996</v>
      </c>
      <c r="C10" s="33">
        <f t="shared" si="3"/>
        <v>301.09399999999999</v>
      </c>
      <c r="D10" s="34">
        <v>139.97399999999999</v>
      </c>
      <c r="E10" s="34">
        <v>56.338999999999999</v>
      </c>
      <c r="F10" s="34">
        <v>19.431000000000001</v>
      </c>
      <c r="G10" s="34">
        <v>11.182</v>
      </c>
      <c r="H10" s="34">
        <v>5.4</v>
      </c>
      <c r="I10" s="34">
        <v>68.768000000000001</v>
      </c>
      <c r="J10" s="33">
        <f>SUM(K10:O10)</f>
        <v>126.00399999999999</v>
      </c>
      <c r="K10" s="34">
        <v>4.4669999999999996</v>
      </c>
      <c r="L10" s="34">
        <v>3.8490000000000002</v>
      </c>
      <c r="M10" s="34">
        <v>22.57</v>
      </c>
      <c r="N10" s="34">
        <v>22.369</v>
      </c>
      <c r="O10" s="34">
        <f>22.338+50.411</f>
        <v>72.748999999999995</v>
      </c>
    </row>
    <row r="11" spans="1:15" x14ac:dyDescent="0.25">
      <c r="A11" s="4" t="s">
        <v>23</v>
      </c>
      <c r="B11" s="33">
        <f t="shared" si="2"/>
        <v>421.98400000000004</v>
      </c>
      <c r="C11" s="33">
        <f t="shared" si="3"/>
        <v>294.50600000000003</v>
      </c>
      <c r="D11" s="34">
        <v>135.92699999999999</v>
      </c>
      <c r="E11" s="34">
        <v>54.381999999999998</v>
      </c>
      <c r="F11" s="34">
        <v>18.936</v>
      </c>
      <c r="G11" s="34">
        <v>11.335000000000001</v>
      </c>
      <c r="H11" s="34">
        <v>6.7270000000000003</v>
      </c>
      <c r="I11" s="34">
        <v>67.198999999999998</v>
      </c>
      <c r="J11" s="33">
        <f>SUM(K11:O11)</f>
        <v>127.47800000000001</v>
      </c>
      <c r="K11" s="34">
        <v>5.0510000000000002</v>
      </c>
      <c r="L11" s="34">
        <v>3.7730000000000001</v>
      </c>
      <c r="M11" s="34">
        <v>23.939</v>
      </c>
      <c r="N11" s="34">
        <v>22.385999999999999</v>
      </c>
      <c r="O11" s="34">
        <f>21.527+50.802</f>
        <v>72.329000000000008</v>
      </c>
    </row>
    <row r="12" spans="1:15" x14ac:dyDescent="0.25">
      <c r="A12" s="4" t="s">
        <v>24</v>
      </c>
      <c r="B12" s="33" t="s">
        <v>50</v>
      </c>
      <c r="C12" s="33" t="s">
        <v>50</v>
      </c>
      <c r="D12" s="34" t="s">
        <v>50</v>
      </c>
      <c r="E12" s="34" t="s">
        <v>50</v>
      </c>
      <c r="F12" s="34" t="s">
        <v>50</v>
      </c>
      <c r="G12" s="34" t="s">
        <v>50</v>
      </c>
      <c r="H12" s="34" t="s">
        <v>50</v>
      </c>
      <c r="I12" s="34" t="s">
        <v>50</v>
      </c>
      <c r="J12" s="33" t="s">
        <v>50</v>
      </c>
      <c r="K12" s="34" t="s">
        <v>50</v>
      </c>
      <c r="L12" s="34" t="s">
        <v>50</v>
      </c>
      <c r="M12" s="34" t="s">
        <v>50</v>
      </c>
      <c r="N12" s="34" t="s">
        <v>50</v>
      </c>
      <c r="O12" s="34" t="s">
        <v>50</v>
      </c>
    </row>
    <row r="13" spans="1:15" x14ac:dyDescent="0.25">
      <c r="A13" s="4" t="s">
        <v>25</v>
      </c>
      <c r="B13" s="33">
        <f t="shared" si="2"/>
        <v>425.94600000000003</v>
      </c>
      <c r="C13" s="33">
        <f t="shared" si="3"/>
        <v>302.60900000000004</v>
      </c>
      <c r="D13" s="34">
        <v>141.54300000000001</v>
      </c>
      <c r="E13" s="34">
        <v>55.53</v>
      </c>
      <c r="F13" s="34">
        <v>22.393999999999998</v>
      </c>
      <c r="G13" s="34">
        <v>11.68</v>
      </c>
      <c r="H13" s="34">
        <v>3.8940000000000001</v>
      </c>
      <c r="I13" s="34">
        <v>67.567999999999998</v>
      </c>
      <c r="J13" s="33">
        <f t="shared" ref="J13:J19" si="4">SUM(K13:O13)</f>
        <v>123.33699999999999</v>
      </c>
      <c r="K13" s="34">
        <v>5.633</v>
      </c>
      <c r="L13" s="34">
        <v>3.5910000000000002</v>
      </c>
      <c r="M13" s="34">
        <v>24.047999999999998</v>
      </c>
      <c r="N13" s="34">
        <v>22.137</v>
      </c>
      <c r="O13" s="34">
        <f>47.265+20.663</f>
        <v>67.927999999999997</v>
      </c>
    </row>
    <row r="14" spans="1:15" x14ac:dyDescent="0.25">
      <c r="A14" s="4" t="s">
        <v>26</v>
      </c>
      <c r="B14" s="33" t="s">
        <v>50</v>
      </c>
      <c r="C14" s="33" t="s">
        <v>50</v>
      </c>
      <c r="D14" s="34" t="s">
        <v>50</v>
      </c>
      <c r="E14" s="34" t="s">
        <v>50</v>
      </c>
      <c r="F14" s="34" t="s">
        <v>50</v>
      </c>
      <c r="G14" s="34" t="s">
        <v>50</v>
      </c>
      <c r="H14" s="34" t="s">
        <v>50</v>
      </c>
      <c r="I14" s="34" t="s">
        <v>50</v>
      </c>
      <c r="J14" s="33" t="s">
        <v>50</v>
      </c>
      <c r="K14" s="34" t="s">
        <v>50</v>
      </c>
      <c r="L14" s="34" t="s">
        <v>50</v>
      </c>
      <c r="M14" s="34" t="s">
        <v>50</v>
      </c>
      <c r="N14" s="34" t="s">
        <v>50</v>
      </c>
      <c r="O14" s="34" t="s">
        <v>50</v>
      </c>
    </row>
    <row r="15" spans="1:15" x14ac:dyDescent="0.25">
      <c r="A15" s="4" t="s">
        <v>27</v>
      </c>
      <c r="B15" s="33" t="s">
        <v>50</v>
      </c>
      <c r="C15" s="33" t="s">
        <v>50</v>
      </c>
      <c r="D15" s="34" t="s">
        <v>50</v>
      </c>
      <c r="E15" s="34" t="s">
        <v>50</v>
      </c>
      <c r="F15" s="34" t="s">
        <v>50</v>
      </c>
      <c r="G15" s="34" t="s">
        <v>50</v>
      </c>
      <c r="H15" s="34" t="s">
        <v>50</v>
      </c>
      <c r="I15" s="34" t="s">
        <v>50</v>
      </c>
      <c r="J15" s="33" t="s">
        <v>50</v>
      </c>
      <c r="K15" s="34" t="s">
        <v>50</v>
      </c>
      <c r="L15" s="34" t="s">
        <v>50</v>
      </c>
      <c r="M15" s="34" t="s">
        <v>50</v>
      </c>
      <c r="N15" s="34" t="s">
        <v>50</v>
      </c>
      <c r="O15" s="34" t="s">
        <v>50</v>
      </c>
    </row>
    <row r="16" spans="1:15" x14ac:dyDescent="0.25">
      <c r="A16" s="4" t="s">
        <v>28</v>
      </c>
      <c r="B16" s="33">
        <f t="shared" si="2"/>
        <v>426.87999999999994</v>
      </c>
      <c r="C16" s="33">
        <f t="shared" si="3"/>
        <v>309.15099999999995</v>
      </c>
      <c r="D16" s="34">
        <v>147.75899999999999</v>
      </c>
      <c r="E16" s="34">
        <v>56.634</v>
      </c>
      <c r="F16" s="34">
        <v>20.863</v>
      </c>
      <c r="G16" s="34">
        <v>11.743</v>
      </c>
      <c r="H16" s="34">
        <v>7.3230000000000004</v>
      </c>
      <c r="I16" s="34">
        <v>64.828999999999994</v>
      </c>
      <c r="J16" s="33">
        <f t="shared" si="4"/>
        <v>117.729</v>
      </c>
      <c r="K16" s="34">
        <v>4.8440000000000003</v>
      </c>
      <c r="L16" s="34">
        <v>2.1520000000000001</v>
      </c>
      <c r="M16" s="34">
        <v>24.713999999999999</v>
      </c>
      <c r="N16" s="34">
        <v>20.96</v>
      </c>
      <c r="O16" s="34">
        <f>42.291+22.768</f>
        <v>65.058999999999997</v>
      </c>
    </row>
    <row r="17" spans="1:15" x14ac:dyDescent="0.25">
      <c r="A17" s="4" t="s">
        <v>29</v>
      </c>
      <c r="B17" s="33" t="s">
        <v>50</v>
      </c>
      <c r="C17" s="33" t="s">
        <v>50</v>
      </c>
      <c r="D17" s="34" t="s">
        <v>50</v>
      </c>
      <c r="E17" s="34" t="s">
        <v>50</v>
      </c>
      <c r="F17" s="34" t="s">
        <v>50</v>
      </c>
      <c r="G17" s="34" t="s">
        <v>50</v>
      </c>
      <c r="H17" s="34" t="s">
        <v>50</v>
      </c>
      <c r="I17" s="34" t="s">
        <v>50</v>
      </c>
      <c r="J17" s="33" t="s">
        <v>50</v>
      </c>
      <c r="K17" s="34" t="s">
        <v>50</v>
      </c>
      <c r="L17" s="34" t="s">
        <v>50</v>
      </c>
      <c r="M17" s="34" t="s">
        <v>50</v>
      </c>
      <c r="N17" s="34" t="s">
        <v>50</v>
      </c>
      <c r="O17" s="34" t="s">
        <v>50</v>
      </c>
    </row>
    <row r="18" spans="1:15" x14ac:dyDescent="0.25">
      <c r="A18" s="4" t="s">
        <v>30</v>
      </c>
      <c r="B18" s="33" t="s">
        <v>50</v>
      </c>
      <c r="C18" s="33" t="s">
        <v>50</v>
      </c>
      <c r="D18" s="34" t="s">
        <v>50</v>
      </c>
      <c r="E18" s="34" t="s">
        <v>50</v>
      </c>
      <c r="F18" s="34" t="s">
        <v>50</v>
      </c>
      <c r="G18" s="34" t="s">
        <v>50</v>
      </c>
      <c r="H18" s="34" t="s">
        <v>50</v>
      </c>
      <c r="I18" s="34" t="s">
        <v>50</v>
      </c>
      <c r="J18" s="33" t="s">
        <v>50</v>
      </c>
      <c r="K18" s="34" t="s">
        <v>50</v>
      </c>
      <c r="L18" s="34" t="s">
        <v>50</v>
      </c>
      <c r="M18" s="34" t="s">
        <v>50</v>
      </c>
      <c r="N18" s="34" t="s">
        <v>50</v>
      </c>
      <c r="O18" s="34" t="s">
        <v>50</v>
      </c>
    </row>
    <row r="19" spans="1:15" x14ac:dyDescent="0.25">
      <c r="A19" s="32" t="s">
        <v>31</v>
      </c>
      <c r="B19" s="35">
        <f t="shared" si="2"/>
        <v>443.57300000000004</v>
      </c>
      <c r="C19" s="35">
        <f t="shared" si="3"/>
        <v>317.80700000000002</v>
      </c>
      <c r="D19" s="36">
        <v>152.19</v>
      </c>
      <c r="E19" s="36">
        <v>57.465000000000003</v>
      </c>
      <c r="F19" s="36">
        <v>20.933</v>
      </c>
      <c r="G19" s="36">
        <v>12.023</v>
      </c>
      <c r="H19" s="36">
        <v>7.3339999999999996</v>
      </c>
      <c r="I19" s="36">
        <v>67.861999999999995</v>
      </c>
      <c r="J19" s="35">
        <f t="shared" si="4"/>
        <v>125.76600000000001</v>
      </c>
      <c r="K19" s="36">
        <v>6.71</v>
      </c>
      <c r="L19" s="36">
        <v>2.5379999999999998</v>
      </c>
      <c r="M19" s="36">
        <v>23.791</v>
      </c>
      <c r="N19" s="36">
        <v>19.385000000000002</v>
      </c>
      <c r="O19" s="36">
        <f>26.36+46.982</f>
        <v>73.341999999999999</v>
      </c>
    </row>
    <row r="20" spans="1:15" ht="12" customHeight="1" x14ac:dyDescent="0.25">
      <c r="A20" s="10" t="s">
        <v>55</v>
      </c>
      <c r="B20" s="15"/>
      <c r="C20" s="15"/>
      <c r="D20" s="7"/>
      <c r="E20" s="7"/>
      <c r="F20" s="7"/>
      <c r="G20" s="7"/>
      <c r="H20" s="7"/>
      <c r="I20" s="7"/>
      <c r="J20" s="15"/>
      <c r="K20" s="7"/>
      <c r="L20" s="7"/>
      <c r="M20" s="7"/>
      <c r="N20" s="7"/>
      <c r="O20" s="7"/>
    </row>
    <row r="21" spans="1:15" ht="12" customHeight="1" x14ac:dyDescent="0.25">
      <c r="A21" s="10" t="s">
        <v>46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ht="12" customHeight="1" x14ac:dyDescent="0.25">
      <c r="A22" s="10" t="s">
        <v>64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ht="12" customHeight="1" x14ac:dyDescent="0.25">
      <c r="A23" s="9" t="s">
        <v>60</v>
      </c>
      <c r="B23" s="9"/>
      <c r="C23" s="9"/>
      <c r="D23" s="9"/>
      <c r="E23" s="9"/>
      <c r="F23" s="9"/>
      <c r="G23" s="9"/>
      <c r="H23" s="9"/>
      <c r="I23" s="9"/>
      <c r="J23" s="9"/>
      <c r="K23" s="28"/>
      <c r="L23" s="28"/>
      <c r="M23" s="28"/>
      <c r="N23" s="28"/>
      <c r="O23" s="28"/>
    </row>
  </sheetData>
  <mergeCells count="4">
    <mergeCell ref="A5:A6"/>
    <mergeCell ref="B5:B6"/>
    <mergeCell ref="C5:I5"/>
    <mergeCell ref="J5:O5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82F43-7EED-41A2-B45A-C9D0E4DEB598}">
  <dimension ref="A2:O23"/>
  <sheetViews>
    <sheetView workbookViewId="0">
      <selection sqref="A1:XFD1048576"/>
    </sheetView>
  </sheetViews>
  <sheetFormatPr baseColWidth="10" defaultColWidth="11.42578125" defaultRowHeight="15" x14ac:dyDescent="0.25"/>
  <cols>
    <col min="1" max="4" width="11.42578125" style="1"/>
    <col min="5" max="5" width="12.140625" style="1" customWidth="1"/>
    <col min="6" max="16384" width="11.42578125" style="1"/>
  </cols>
  <sheetData>
    <row r="2" spans="1:15" x14ac:dyDescent="0.25">
      <c r="A2" s="2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5">
      <c r="A5" s="45" t="s">
        <v>1</v>
      </c>
      <c r="B5" s="47" t="s">
        <v>2</v>
      </c>
      <c r="C5" s="49" t="s">
        <v>3</v>
      </c>
      <c r="D5" s="49"/>
      <c r="E5" s="49"/>
      <c r="F5" s="49"/>
      <c r="G5" s="49"/>
      <c r="H5" s="49"/>
      <c r="I5" s="49"/>
      <c r="J5" s="47" t="s">
        <v>4</v>
      </c>
      <c r="K5" s="47"/>
      <c r="L5" s="47"/>
      <c r="M5" s="47"/>
      <c r="N5" s="47"/>
      <c r="O5" s="47"/>
    </row>
    <row r="6" spans="1:15" ht="36" x14ac:dyDescent="0.25">
      <c r="A6" s="46"/>
      <c r="B6" s="48"/>
      <c r="C6" s="12" t="s">
        <v>33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35</v>
      </c>
      <c r="J6" s="13" t="s">
        <v>11</v>
      </c>
      <c r="K6" s="12" t="s">
        <v>12</v>
      </c>
      <c r="L6" s="12" t="s">
        <v>13</v>
      </c>
      <c r="M6" s="12" t="s">
        <v>14</v>
      </c>
      <c r="N6" s="12" t="s">
        <v>16</v>
      </c>
      <c r="O6" s="12" t="s">
        <v>19</v>
      </c>
    </row>
    <row r="7" spans="1:15" x14ac:dyDescent="0.25">
      <c r="A7" s="14" t="s">
        <v>52</v>
      </c>
      <c r="B7" s="33">
        <f t="shared" ref="B7:O7" si="0">AVERAGE(B8:B11,B13,B16,B19)</f>
        <v>389.24750000000006</v>
      </c>
      <c r="C7" s="33">
        <f t="shared" si="0"/>
        <v>262.85749999999996</v>
      </c>
      <c r="D7" s="33">
        <f t="shared" si="0"/>
        <v>140.57500000000002</v>
      </c>
      <c r="E7" s="33">
        <f t="shared" si="0"/>
        <v>38.6</v>
      </c>
      <c r="F7" s="33">
        <f t="shared" si="0"/>
        <v>13.962499999999999</v>
      </c>
      <c r="G7" s="33">
        <f t="shared" si="0"/>
        <v>11.227499999999999</v>
      </c>
      <c r="H7" s="33">
        <f t="shared" si="0"/>
        <v>3.9875000000000003</v>
      </c>
      <c r="I7" s="33">
        <f t="shared" si="0"/>
        <v>54.504999999999995</v>
      </c>
      <c r="J7" s="33">
        <f t="shared" si="0"/>
        <v>126.39</v>
      </c>
      <c r="K7" s="33">
        <f t="shared" si="0"/>
        <v>5.4450000000000003</v>
      </c>
      <c r="L7" s="33">
        <f t="shared" si="0"/>
        <v>5.2675000000000001</v>
      </c>
      <c r="M7" s="33">
        <f t="shared" si="0"/>
        <v>26.084999999999997</v>
      </c>
      <c r="N7" s="33">
        <f t="shared" si="0"/>
        <v>18.234999999999999</v>
      </c>
      <c r="O7" s="33">
        <f t="shared" si="0"/>
        <v>71.357500000000002</v>
      </c>
    </row>
    <row r="8" spans="1:15" x14ac:dyDescent="0.25">
      <c r="A8" s="4" t="s">
        <v>20</v>
      </c>
      <c r="B8" s="33" t="s">
        <v>50</v>
      </c>
      <c r="C8" s="33" t="s">
        <v>50</v>
      </c>
      <c r="D8" s="34" t="s">
        <v>50</v>
      </c>
      <c r="E8" s="34" t="s">
        <v>50</v>
      </c>
      <c r="F8" s="34" t="s">
        <v>50</v>
      </c>
      <c r="G8" s="34" t="s">
        <v>50</v>
      </c>
      <c r="H8" s="34" t="s">
        <v>50</v>
      </c>
      <c r="I8" s="34" t="s">
        <v>50</v>
      </c>
      <c r="J8" s="33" t="s">
        <v>50</v>
      </c>
      <c r="K8" s="34" t="s">
        <v>50</v>
      </c>
      <c r="L8" s="34" t="s">
        <v>50</v>
      </c>
      <c r="M8" s="34" t="s">
        <v>50</v>
      </c>
      <c r="N8" s="34" t="s">
        <v>50</v>
      </c>
      <c r="O8" s="34" t="s">
        <v>50</v>
      </c>
    </row>
    <row r="9" spans="1:15" x14ac:dyDescent="0.25">
      <c r="A9" s="4" t="s">
        <v>21</v>
      </c>
      <c r="B9" s="33" t="s">
        <v>50</v>
      </c>
      <c r="C9" s="33" t="s">
        <v>50</v>
      </c>
      <c r="D9" s="34" t="s">
        <v>50</v>
      </c>
      <c r="E9" s="34" t="s">
        <v>50</v>
      </c>
      <c r="F9" s="34" t="s">
        <v>50</v>
      </c>
      <c r="G9" s="34" t="s">
        <v>50</v>
      </c>
      <c r="H9" s="34" t="s">
        <v>50</v>
      </c>
      <c r="I9" s="34" t="s">
        <v>50</v>
      </c>
      <c r="J9" s="33" t="s">
        <v>50</v>
      </c>
      <c r="K9" s="34" t="s">
        <v>50</v>
      </c>
      <c r="L9" s="34" t="s">
        <v>50</v>
      </c>
      <c r="M9" s="34" t="s">
        <v>50</v>
      </c>
      <c r="N9" s="34" t="s">
        <v>50</v>
      </c>
      <c r="O9" s="34" t="s">
        <v>50</v>
      </c>
    </row>
    <row r="10" spans="1:15" x14ac:dyDescent="0.25">
      <c r="A10" s="4" t="s">
        <v>22</v>
      </c>
      <c r="B10" s="33">
        <f t="shared" ref="B10:B19" si="1">SUM(C10,J10)</f>
        <v>344.59</v>
      </c>
      <c r="C10" s="33">
        <f t="shared" ref="C10:C19" si="2">SUM(D10:I10)</f>
        <v>222.97999999999996</v>
      </c>
      <c r="D10" s="34">
        <v>139.75</v>
      </c>
      <c r="E10" s="34">
        <v>20.329999999999998</v>
      </c>
      <c r="F10" s="34">
        <v>6.39</v>
      </c>
      <c r="G10" s="34">
        <v>11.04</v>
      </c>
      <c r="H10" s="34">
        <v>1.8</v>
      </c>
      <c r="I10" s="34">
        <v>43.67</v>
      </c>
      <c r="J10" s="33">
        <f t="shared" ref="J10:J19" si="3">SUM(K10:O10)</f>
        <v>121.61</v>
      </c>
      <c r="K10" s="34">
        <v>5.82</v>
      </c>
      <c r="L10" s="34">
        <v>4.97</v>
      </c>
      <c r="M10" s="34">
        <v>21.7</v>
      </c>
      <c r="N10" s="34">
        <v>13.91</v>
      </c>
      <c r="O10" s="34">
        <f>27.22+47.99</f>
        <v>75.210000000000008</v>
      </c>
    </row>
    <row r="11" spans="1:15" x14ac:dyDescent="0.25">
      <c r="A11" s="4" t="s">
        <v>23</v>
      </c>
      <c r="B11" s="33" t="s">
        <v>50</v>
      </c>
      <c r="C11" s="33" t="s">
        <v>50</v>
      </c>
      <c r="D11" s="34" t="s">
        <v>50</v>
      </c>
      <c r="E11" s="34" t="s">
        <v>50</v>
      </c>
      <c r="F11" s="34" t="s">
        <v>50</v>
      </c>
      <c r="G11" s="34" t="s">
        <v>50</v>
      </c>
      <c r="H11" s="34" t="s">
        <v>50</v>
      </c>
      <c r="I11" s="34" t="s">
        <v>50</v>
      </c>
      <c r="J11" s="33" t="s">
        <v>50</v>
      </c>
      <c r="K11" s="34" t="s">
        <v>50</v>
      </c>
      <c r="L11" s="34" t="s">
        <v>50</v>
      </c>
      <c r="M11" s="34" t="s">
        <v>50</v>
      </c>
      <c r="N11" s="34" t="s">
        <v>50</v>
      </c>
      <c r="O11" s="34" t="s">
        <v>50</v>
      </c>
    </row>
    <row r="12" spans="1:15" x14ac:dyDescent="0.25">
      <c r="A12" s="4" t="s">
        <v>24</v>
      </c>
      <c r="B12" s="33" t="s">
        <v>50</v>
      </c>
      <c r="C12" s="33" t="s">
        <v>50</v>
      </c>
      <c r="D12" s="34" t="s">
        <v>50</v>
      </c>
      <c r="E12" s="34" t="s">
        <v>50</v>
      </c>
      <c r="F12" s="34" t="s">
        <v>50</v>
      </c>
      <c r="G12" s="34" t="s">
        <v>50</v>
      </c>
      <c r="H12" s="34" t="s">
        <v>50</v>
      </c>
      <c r="I12" s="34" t="s">
        <v>50</v>
      </c>
      <c r="J12" s="33" t="s">
        <v>50</v>
      </c>
      <c r="K12" s="34" t="s">
        <v>50</v>
      </c>
      <c r="L12" s="34" t="s">
        <v>50</v>
      </c>
      <c r="M12" s="34" t="s">
        <v>50</v>
      </c>
      <c r="N12" s="34" t="s">
        <v>50</v>
      </c>
      <c r="O12" s="34" t="s">
        <v>50</v>
      </c>
    </row>
    <row r="13" spans="1:15" x14ac:dyDescent="0.25">
      <c r="A13" s="4" t="s">
        <v>25</v>
      </c>
      <c r="B13" s="33">
        <f t="shared" si="1"/>
        <v>381.42999999999995</v>
      </c>
      <c r="C13" s="33">
        <f t="shared" si="2"/>
        <v>248.35999999999996</v>
      </c>
      <c r="D13" s="34">
        <v>135.88999999999999</v>
      </c>
      <c r="E13" s="34">
        <v>50.04</v>
      </c>
      <c r="F13" s="34">
        <v>6.45</v>
      </c>
      <c r="G13" s="34">
        <v>10.36</v>
      </c>
      <c r="H13" s="34">
        <v>3.44</v>
      </c>
      <c r="I13" s="34">
        <v>42.18</v>
      </c>
      <c r="J13" s="33">
        <f t="shared" si="3"/>
        <v>133.07</v>
      </c>
      <c r="K13" s="34">
        <v>5.92</v>
      </c>
      <c r="L13" s="34">
        <v>4.95</v>
      </c>
      <c r="M13" s="34">
        <v>29.43</v>
      </c>
      <c r="N13" s="34">
        <v>22.52</v>
      </c>
      <c r="O13" s="34">
        <f>28.07+42.18</f>
        <v>70.25</v>
      </c>
    </row>
    <row r="14" spans="1:15" x14ac:dyDescent="0.25">
      <c r="A14" s="4" t="s">
        <v>26</v>
      </c>
      <c r="B14" s="33" t="s">
        <v>50</v>
      </c>
      <c r="C14" s="33" t="s">
        <v>50</v>
      </c>
      <c r="D14" s="34" t="s">
        <v>50</v>
      </c>
      <c r="E14" s="34" t="s">
        <v>50</v>
      </c>
      <c r="F14" s="34" t="s">
        <v>50</v>
      </c>
      <c r="G14" s="34" t="s">
        <v>50</v>
      </c>
      <c r="H14" s="34" t="s">
        <v>50</v>
      </c>
      <c r="I14" s="34" t="s">
        <v>50</v>
      </c>
      <c r="J14" s="33" t="s">
        <v>50</v>
      </c>
      <c r="K14" s="34" t="s">
        <v>50</v>
      </c>
      <c r="L14" s="34" t="s">
        <v>50</v>
      </c>
      <c r="M14" s="34" t="s">
        <v>50</v>
      </c>
      <c r="N14" s="34" t="s">
        <v>50</v>
      </c>
      <c r="O14" s="34" t="s">
        <v>50</v>
      </c>
    </row>
    <row r="15" spans="1:15" x14ac:dyDescent="0.25">
      <c r="A15" s="4" t="s">
        <v>27</v>
      </c>
      <c r="B15" s="33" t="s">
        <v>50</v>
      </c>
      <c r="C15" s="33" t="s">
        <v>50</v>
      </c>
      <c r="D15" s="34" t="s">
        <v>50</v>
      </c>
      <c r="E15" s="34" t="s">
        <v>50</v>
      </c>
      <c r="F15" s="34" t="s">
        <v>50</v>
      </c>
      <c r="G15" s="34" t="s">
        <v>50</v>
      </c>
      <c r="H15" s="34" t="s">
        <v>50</v>
      </c>
      <c r="I15" s="34" t="s">
        <v>50</v>
      </c>
      <c r="J15" s="33" t="s">
        <v>50</v>
      </c>
      <c r="K15" s="34" t="s">
        <v>50</v>
      </c>
      <c r="L15" s="34" t="s">
        <v>50</v>
      </c>
      <c r="M15" s="34" t="s">
        <v>50</v>
      </c>
      <c r="N15" s="34" t="s">
        <v>50</v>
      </c>
      <c r="O15" s="34" t="s">
        <v>50</v>
      </c>
    </row>
    <row r="16" spans="1:15" x14ac:dyDescent="0.25">
      <c r="A16" s="4" t="s">
        <v>28</v>
      </c>
      <c r="B16" s="33">
        <f t="shared" si="1"/>
        <v>411.30000000000007</v>
      </c>
      <c r="C16" s="33">
        <f t="shared" si="2"/>
        <v>279.84000000000003</v>
      </c>
      <c r="D16" s="34">
        <v>140.08000000000001</v>
      </c>
      <c r="E16" s="34">
        <v>44.59</v>
      </c>
      <c r="F16" s="34">
        <v>22.43</v>
      </c>
      <c r="G16" s="34">
        <v>12.08</v>
      </c>
      <c r="H16" s="34">
        <v>5.61</v>
      </c>
      <c r="I16" s="34">
        <v>55.05</v>
      </c>
      <c r="J16" s="33">
        <f t="shared" si="3"/>
        <v>131.46</v>
      </c>
      <c r="K16" s="34">
        <v>6</v>
      </c>
      <c r="L16" s="34">
        <v>6.16</v>
      </c>
      <c r="M16" s="34">
        <v>27.24</v>
      </c>
      <c r="N16" s="34">
        <v>17.420000000000002</v>
      </c>
      <c r="O16" s="34">
        <f>29.47+45.17</f>
        <v>74.64</v>
      </c>
    </row>
    <row r="17" spans="1:15" x14ac:dyDescent="0.25">
      <c r="A17" s="4" t="s">
        <v>29</v>
      </c>
      <c r="B17" s="33" t="s">
        <v>50</v>
      </c>
      <c r="C17" s="33" t="s">
        <v>50</v>
      </c>
      <c r="D17" s="34" t="s">
        <v>50</v>
      </c>
      <c r="E17" s="34" t="s">
        <v>50</v>
      </c>
      <c r="F17" s="34" t="s">
        <v>50</v>
      </c>
      <c r="G17" s="34" t="s">
        <v>50</v>
      </c>
      <c r="H17" s="34" t="s">
        <v>50</v>
      </c>
      <c r="I17" s="34" t="s">
        <v>50</v>
      </c>
      <c r="J17" s="33" t="s">
        <v>50</v>
      </c>
      <c r="K17" s="34" t="s">
        <v>50</v>
      </c>
      <c r="L17" s="34" t="s">
        <v>50</v>
      </c>
      <c r="M17" s="34" t="s">
        <v>50</v>
      </c>
      <c r="N17" s="34" t="s">
        <v>50</v>
      </c>
      <c r="O17" s="34" t="s">
        <v>50</v>
      </c>
    </row>
    <row r="18" spans="1:15" x14ac:dyDescent="0.25">
      <c r="A18" s="4" t="s">
        <v>30</v>
      </c>
      <c r="B18" s="33" t="s">
        <v>50</v>
      </c>
      <c r="C18" s="33" t="s">
        <v>50</v>
      </c>
      <c r="D18" s="34" t="s">
        <v>50</v>
      </c>
      <c r="E18" s="34" t="s">
        <v>50</v>
      </c>
      <c r="F18" s="34" t="s">
        <v>50</v>
      </c>
      <c r="G18" s="34" t="s">
        <v>50</v>
      </c>
      <c r="H18" s="34" t="s">
        <v>50</v>
      </c>
      <c r="I18" s="34" t="s">
        <v>50</v>
      </c>
      <c r="J18" s="33" t="s">
        <v>50</v>
      </c>
      <c r="K18" s="34" t="s">
        <v>50</v>
      </c>
      <c r="L18" s="34" t="s">
        <v>50</v>
      </c>
      <c r="M18" s="34" t="s">
        <v>50</v>
      </c>
      <c r="N18" s="34" t="s">
        <v>50</v>
      </c>
      <c r="O18" s="34" t="s">
        <v>50</v>
      </c>
    </row>
    <row r="19" spans="1:15" x14ac:dyDescent="0.25">
      <c r="A19" s="32" t="s">
        <v>31</v>
      </c>
      <c r="B19" s="35">
        <f t="shared" si="1"/>
        <v>419.67</v>
      </c>
      <c r="C19" s="35">
        <f t="shared" si="2"/>
        <v>300.25</v>
      </c>
      <c r="D19" s="36">
        <v>146.58000000000001</v>
      </c>
      <c r="E19" s="36">
        <v>39.44</v>
      </c>
      <c r="F19" s="36">
        <v>20.58</v>
      </c>
      <c r="G19" s="36">
        <v>11.43</v>
      </c>
      <c r="H19" s="36">
        <v>5.0999999999999996</v>
      </c>
      <c r="I19" s="36">
        <v>77.12</v>
      </c>
      <c r="J19" s="35">
        <f t="shared" si="3"/>
        <v>119.42</v>
      </c>
      <c r="K19" s="36">
        <v>4.04</v>
      </c>
      <c r="L19" s="36">
        <v>4.99</v>
      </c>
      <c r="M19" s="36">
        <v>25.97</v>
      </c>
      <c r="N19" s="36">
        <v>19.09</v>
      </c>
      <c r="O19" s="36">
        <f>27.86+37.47</f>
        <v>65.33</v>
      </c>
    </row>
    <row r="20" spans="1:15" ht="11.25" customHeight="1" x14ac:dyDescent="0.25">
      <c r="A20" s="10" t="s">
        <v>55</v>
      </c>
      <c r="B20" s="15"/>
      <c r="C20" s="15"/>
      <c r="D20" s="7"/>
      <c r="E20" s="7"/>
      <c r="F20" s="7"/>
      <c r="G20" s="7"/>
      <c r="H20" s="7"/>
      <c r="I20" s="7"/>
      <c r="J20" s="15"/>
      <c r="K20" s="7"/>
      <c r="L20" s="7"/>
      <c r="M20" s="7"/>
      <c r="N20" s="7"/>
      <c r="O20" s="7"/>
    </row>
    <row r="21" spans="1:15" ht="11.25" customHeight="1" x14ac:dyDescent="0.25">
      <c r="A21" s="10" t="s">
        <v>46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ht="11.25" customHeight="1" x14ac:dyDescent="0.25">
      <c r="A22" s="10" t="s">
        <v>64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ht="11.25" customHeight="1" x14ac:dyDescent="0.25">
      <c r="A23" s="9" t="s">
        <v>60</v>
      </c>
      <c r="B23" s="9"/>
      <c r="C23" s="9"/>
      <c r="D23" s="9"/>
      <c r="E23" s="9"/>
      <c r="F23" s="9"/>
      <c r="G23" s="9"/>
      <c r="H23" s="9"/>
      <c r="I23" s="9"/>
      <c r="J23" s="9"/>
      <c r="K23" s="28"/>
      <c r="L23" s="28"/>
      <c r="M23" s="28"/>
      <c r="N23" s="28"/>
      <c r="O23" s="28"/>
    </row>
  </sheetData>
  <mergeCells count="4">
    <mergeCell ref="A5:A6"/>
    <mergeCell ref="B5:B6"/>
    <mergeCell ref="C5:I5"/>
    <mergeCell ref="J5:O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6AE35-5086-4432-9813-B5B9DBD77E37}">
  <dimension ref="A2:O23"/>
  <sheetViews>
    <sheetView tabSelected="1" workbookViewId="0">
      <selection activeCell="F10" sqref="F10"/>
    </sheetView>
  </sheetViews>
  <sheetFormatPr baseColWidth="10" defaultColWidth="11.42578125" defaultRowHeight="15" x14ac:dyDescent="0.25"/>
  <cols>
    <col min="1" max="4" width="11.42578125" style="1"/>
    <col min="5" max="5" width="12.140625" style="1" customWidth="1"/>
    <col min="6" max="16384" width="11.42578125" style="1"/>
  </cols>
  <sheetData>
    <row r="2" spans="1:15" x14ac:dyDescent="0.25">
      <c r="A2" s="2" t="s">
        <v>65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5">
      <c r="A5" s="45" t="s">
        <v>1</v>
      </c>
      <c r="B5" s="47" t="s">
        <v>2</v>
      </c>
      <c r="C5" s="49" t="s">
        <v>3</v>
      </c>
      <c r="D5" s="49"/>
      <c r="E5" s="49"/>
      <c r="F5" s="49"/>
      <c r="G5" s="49"/>
      <c r="H5" s="49"/>
      <c r="I5" s="49"/>
      <c r="J5" s="47" t="s">
        <v>4</v>
      </c>
      <c r="K5" s="47"/>
      <c r="L5" s="47"/>
      <c r="M5" s="47"/>
      <c r="N5" s="47"/>
      <c r="O5" s="47"/>
    </row>
    <row r="6" spans="1:15" ht="36" x14ac:dyDescent="0.25">
      <c r="A6" s="46"/>
      <c r="B6" s="48"/>
      <c r="C6" s="12" t="s">
        <v>33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35</v>
      </c>
      <c r="J6" s="13" t="s">
        <v>11</v>
      </c>
      <c r="K6" s="12" t="s">
        <v>12</v>
      </c>
      <c r="L6" s="12" t="s">
        <v>13</v>
      </c>
      <c r="M6" s="12" t="s">
        <v>14</v>
      </c>
      <c r="N6" s="12" t="s">
        <v>16</v>
      </c>
      <c r="O6" s="12" t="s">
        <v>19</v>
      </c>
    </row>
    <row r="7" spans="1:15" x14ac:dyDescent="0.25">
      <c r="A7" s="14" t="s">
        <v>52</v>
      </c>
      <c r="B7" s="33">
        <f t="shared" ref="B7:O7" si="0">AVERAGE(B8:B11,B13,B16,B19)</f>
        <v>0</v>
      </c>
      <c r="C7" s="33">
        <f t="shared" si="0"/>
        <v>0</v>
      </c>
      <c r="D7" s="33">
        <f t="shared" si="0"/>
        <v>153.53</v>
      </c>
      <c r="E7" s="33">
        <f t="shared" si="0"/>
        <v>42.92</v>
      </c>
      <c r="F7" s="33">
        <f t="shared" si="0"/>
        <v>17.45</v>
      </c>
      <c r="G7" s="33">
        <f t="shared" si="0"/>
        <v>11.94</v>
      </c>
      <c r="H7" s="33">
        <f t="shared" si="0"/>
        <v>6</v>
      </c>
      <c r="I7" s="33">
        <f t="shared" si="0"/>
        <v>57.22</v>
      </c>
      <c r="J7" s="33">
        <f t="shared" si="0"/>
        <v>0</v>
      </c>
      <c r="K7" s="33">
        <f t="shared" si="0"/>
        <v>5.87</v>
      </c>
      <c r="L7" s="33">
        <f t="shared" si="0"/>
        <v>6.82</v>
      </c>
      <c r="M7" s="33">
        <f t="shared" si="0"/>
        <v>28.73</v>
      </c>
      <c r="N7" s="33">
        <f t="shared" si="0"/>
        <v>16.850000000000001</v>
      </c>
      <c r="O7" s="33">
        <f t="shared" si="0"/>
        <v>76.040000000000006</v>
      </c>
    </row>
    <row r="8" spans="1:15" x14ac:dyDescent="0.25">
      <c r="A8" s="4" t="s">
        <v>20</v>
      </c>
      <c r="B8" s="33" t="s">
        <v>50</v>
      </c>
      <c r="C8" s="33" t="s">
        <v>50</v>
      </c>
      <c r="D8" s="34">
        <v>156.84</v>
      </c>
      <c r="E8" s="34">
        <v>42.92</v>
      </c>
      <c r="F8" s="34">
        <v>17.45</v>
      </c>
      <c r="G8" s="34">
        <v>11.94</v>
      </c>
      <c r="H8" s="34">
        <v>6</v>
      </c>
      <c r="I8" s="34">
        <v>57.22</v>
      </c>
      <c r="J8" s="33" t="s">
        <v>50</v>
      </c>
      <c r="K8" s="34">
        <v>5.87</v>
      </c>
      <c r="L8" s="34">
        <v>6.82</v>
      </c>
      <c r="M8" s="34">
        <v>28.73</v>
      </c>
      <c r="N8" s="34">
        <v>16.850000000000001</v>
      </c>
      <c r="O8" s="34">
        <f>28.95+47.09</f>
        <v>76.040000000000006</v>
      </c>
    </row>
    <row r="9" spans="1:15" x14ac:dyDescent="0.25">
      <c r="A9" s="4" t="s">
        <v>21</v>
      </c>
      <c r="B9" s="33" t="s">
        <v>50</v>
      </c>
      <c r="C9" s="33" t="s">
        <v>50</v>
      </c>
      <c r="D9" s="34"/>
      <c r="E9" s="34"/>
      <c r="F9" s="34"/>
      <c r="G9" s="34"/>
      <c r="H9" s="34"/>
      <c r="I9" s="34"/>
      <c r="J9" s="33" t="s">
        <v>50</v>
      </c>
      <c r="K9" s="34"/>
      <c r="L9" s="34"/>
      <c r="M9" s="34"/>
      <c r="N9" s="34"/>
      <c r="O9" s="34"/>
    </row>
    <row r="10" spans="1:15" x14ac:dyDescent="0.25">
      <c r="A10" s="4" t="s">
        <v>22</v>
      </c>
      <c r="B10" s="33">
        <f t="shared" ref="B10:B19" si="1">SUM(C10,J10)</f>
        <v>0</v>
      </c>
      <c r="C10" s="33">
        <f t="shared" ref="C10:C19" si="2">SUM(D10:I10)</f>
        <v>0</v>
      </c>
      <c r="D10" s="34"/>
      <c r="E10" s="34"/>
      <c r="F10" s="34"/>
      <c r="G10" s="34"/>
      <c r="H10" s="34"/>
      <c r="I10" s="34"/>
      <c r="J10" s="33">
        <f t="shared" ref="J10:J19" si="3">SUM(K10:O10)</f>
        <v>0</v>
      </c>
      <c r="K10" s="34"/>
      <c r="L10" s="34"/>
      <c r="M10" s="34"/>
      <c r="N10" s="34"/>
      <c r="O10" s="34"/>
    </row>
    <row r="11" spans="1:15" x14ac:dyDescent="0.25">
      <c r="A11" s="4" t="s">
        <v>23</v>
      </c>
      <c r="B11" s="33" t="s">
        <v>50</v>
      </c>
      <c r="C11" s="33" t="s">
        <v>50</v>
      </c>
      <c r="D11" s="34">
        <v>150.22</v>
      </c>
      <c r="E11" s="34"/>
      <c r="F11" s="34"/>
      <c r="G11" s="34"/>
      <c r="H11" s="34"/>
      <c r="I11" s="34"/>
      <c r="J11" s="33" t="s">
        <v>50</v>
      </c>
      <c r="K11" s="34"/>
      <c r="L11" s="34"/>
      <c r="M11" s="34"/>
      <c r="N11" s="34"/>
      <c r="O11" s="34"/>
    </row>
    <row r="12" spans="1:15" x14ac:dyDescent="0.25">
      <c r="A12" s="4" t="s">
        <v>24</v>
      </c>
      <c r="B12" s="33" t="s">
        <v>50</v>
      </c>
      <c r="C12" s="33" t="s">
        <v>50</v>
      </c>
      <c r="D12" s="34"/>
      <c r="E12" s="34"/>
      <c r="F12" s="34"/>
      <c r="G12" s="34"/>
      <c r="H12" s="34"/>
      <c r="I12" s="34"/>
      <c r="J12" s="33" t="s">
        <v>50</v>
      </c>
      <c r="K12" s="34"/>
      <c r="L12" s="34"/>
      <c r="M12" s="34"/>
      <c r="N12" s="34"/>
      <c r="O12" s="34"/>
    </row>
    <row r="13" spans="1:15" x14ac:dyDescent="0.25">
      <c r="A13" s="4" t="s">
        <v>25</v>
      </c>
      <c r="B13" s="33">
        <f t="shared" si="1"/>
        <v>0</v>
      </c>
      <c r="C13" s="33">
        <f t="shared" si="2"/>
        <v>0</v>
      </c>
      <c r="D13" s="34"/>
      <c r="E13" s="34"/>
      <c r="F13" s="34"/>
      <c r="G13" s="34"/>
      <c r="H13" s="34"/>
      <c r="I13" s="34"/>
      <c r="J13" s="33">
        <f t="shared" si="3"/>
        <v>0</v>
      </c>
      <c r="K13" s="34"/>
      <c r="L13" s="34"/>
      <c r="M13" s="34"/>
      <c r="N13" s="34"/>
      <c r="O13" s="34"/>
    </row>
    <row r="14" spans="1:15" x14ac:dyDescent="0.25">
      <c r="A14" s="4" t="s">
        <v>26</v>
      </c>
      <c r="B14" s="33" t="s">
        <v>50</v>
      </c>
      <c r="C14" s="33" t="s">
        <v>50</v>
      </c>
      <c r="D14" s="34"/>
      <c r="E14" s="34"/>
      <c r="F14" s="34"/>
      <c r="G14" s="34"/>
      <c r="H14" s="34"/>
      <c r="I14" s="34"/>
      <c r="J14" s="33" t="s">
        <v>50</v>
      </c>
      <c r="K14" s="34"/>
      <c r="L14" s="34"/>
      <c r="M14" s="34"/>
      <c r="N14" s="34"/>
      <c r="O14" s="34"/>
    </row>
    <row r="15" spans="1:15" x14ac:dyDescent="0.25">
      <c r="A15" s="4" t="s">
        <v>27</v>
      </c>
      <c r="B15" s="33" t="s">
        <v>50</v>
      </c>
      <c r="C15" s="33" t="s">
        <v>50</v>
      </c>
      <c r="D15" s="34"/>
      <c r="E15" s="34"/>
      <c r="F15" s="34"/>
      <c r="G15" s="34"/>
      <c r="H15" s="34"/>
      <c r="I15" s="34"/>
      <c r="J15" s="33" t="s">
        <v>50</v>
      </c>
      <c r="K15" s="34"/>
      <c r="L15" s="34"/>
      <c r="M15" s="34"/>
      <c r="N15" s="34"/>
      <c r="O15" s="34"/>
    </row>
    <row r="16" spans="1:15" x14ac:dyDescent="0.25">
      <c r="A16" s="4" t="s">
        <v>28</v>
      </c>
      <c r="B16" s="33">
        <f t="shared" si="1"/>
        <v>0</v>
      </c>
      <c r="C16" s="33">
        <f t="shared" si="2"/>
        <v>0</v>
      </c>
      <c r="D16" s="34"/>
      <c r="E16" s="34"/>
      <c r="F16" s="34"/>
      <c r="G16" s="34"/>
      <c r="H16" s="34"/>
      <c r="I16" s="34"/>
      <c r="J16" s="33">
        <f t="shared" si="3"/>
        <v>0</v>
      </c>
      <c r="K16" s="34"/>
      <c r="L16" s="34"/>
      <c r="M16" s="34"/>
      <c r="N16" s="34"/>
      <c r="O16" s="34"/>
    </row>
    <row r="17" spans="1:15" x14ac:dyDescent="0.25">
      <c r="A17" s="4" t="s">
        <v>29</v>
      </c>
      <c r="B17" s="33" t="s">
        <v>50</v>
      </c>
      <c r="C17" s="33" t="s">
        <v>50</v>
      </c>
      <c r="D17" s="34"/>
      <c r="E17" s="34"/>
      <c r="F17" s="34"/>
      <c r="G17" s="34"/>
      <c r="H17" s="34"/>
      <c r="I17" s="34"/>
      <c r="J17" s="33" t="s">
        <v>50</v>
      </c>
      <c r="K17" s="34"/>
      <c r="L17" s="34"/>
      <c r="M17" s="34"/>
      <c r="N17" s="34"/>
      <c r="O17" s="34"/>
    </row>
    <row r="18" spans="1:15" x14ac:dyDescent="0.25">
      <c r="A18" s="4" t="s">
        <v>30</v>
      </c>
      <c r="B18" s="33" t="s">
        <v>50</v>
      </c>
      <c r="C18" s="33" t="s">
        <v>50</v>
      </c>
      <c r="D18" s="34"/>
      <c r="E18" s="34"/>
      <c r="F18" s="34"/>
      <c r="G18" s="34"/>
      <c r="H18" s="34"/>
      <c r="I18" s="34"/>
      <c r="J18" s="33" t="s">
        <v>50</v>
      </c>
      <c r="K18" s="34"/>
      <c r="L18" s="34"/>
      <c r="M18" s="34"/>
      <c r="N18" s="34"/>
      <c r="O18" s="34"/>
    </row>
    <row r="19" spans="1:15" x14ac:dyDescent="0.25">
      <c r="A19" s="32" t="s">
        <v>31</v>
      </c>
      <c r="B19" s="35">
        <f t="shared" si="1"/>
        <v>0</v>
      </c>
      <c r="C19" s="35">
        <f t="shared" si="2"/>
        <v>0</v>
      </c>
      <c r="D19" s="36"/>
      <c r="E19" s="36"/>
      <c r="F19" s="36"/>
      <c r="G19" s="36"/>
      <c r="H19" s="36"/>
      <c r="I19" s="36"/>
      <c r="J19" s="35">
        <f t="shared" si="3"/>
        <v>0</v>
      </c>
      <c r="K19" s="36"/>
      <c r="L19" s="36"/>
      <c r="M19" s="36"/>
      <c r="N19" s="36"/>
      <c r="O19" s="36"/>
    </row>
    <row r="20" spans="1:15" ht="11.25" customHeight="1" x14ac:dyDescent="0.25">
      <c r="A20" s="10" t="s">
        <v>55</v>
      </c>
      <c r="B20" s="15"/>
      <c r="C20" s="15"/>
      <c r="D20" s="7"/>
      <c r="E20" s="7"/>
      <c r="F20" s="7"/>
      <c r="G20" s="7"/>
      <c r="H20" s="7"/>
      <c r="I20" s="7"/>
      <c r="J20" s="15"/>
      <c r="K20" s="7"/>
      <c r="L20" s="7"/>
      <c r="M20" s="7"/>
      <c r="N20" s="7"/>
      <c r="O20" s="7"/>
    </row>
    <row r="21" spans="1:15" ht="11.25" customHeight="1" x14ac:dyDescent="0.25">
      <c r="A21" s="10" t="s">
        <v>46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ht="11.25" customHeight="1" x14ac:dyDescent="0.25">
      <c r="A22" s="10" t="s">
        <v>64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ht="11.25" customHeight="1" x14ac:dyDescent="0.25">
      <c r="A23" s="9" t="s">
        <v>60</v>
      </c>
      <c r="B23" s="9"/>
      <c r="C23" s="9"/>
      <c r="D23" s="9"/>
      <c r="E23" s="9"/>
      <c r="F23" s="9"/>
      <c r="G23" s="9"/>
      <c r="H23" s="9"/>
      <c r="I23" s="9"/>
      <c r="J23" s="9"/>
      <c r="K23" s="28"/>
      <c r="L23" s="28"/>
      <c r="M23" s="28"/>
      <c r="N23" s="28"/>
      <c r="O23" s="28"/>
    </row>
  </sheetData>
  <mergeCells count="4">
    <mergeCell ref="A5:A6"/>
    <mergeCell ref="B5:B6"/>
    <mergeCell ref="C5:I5"/>
    <mergeCell ref="J5:O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4"/>
  <sheetViews>
    <sheetView workbookViewId="0">
      <selection activeCell="A23" sqref="A23"/>
    </sheetView>
  </sheetViews>
  <sheetFormatPr baseColWidth="10" defaultColWidth="11.42578125" defaultRowHeight="12" x14ac:dyDescent="0.2"/>
  <cols>
    <col min="1" max="4" width="11.42578125" style="5"/>
    <col min="5" max="5" width="12.140625" style="5" customWidth="1"/>
    <col min="6" max="16384" width="11.42578125" style="5"/>
  </cols>
  <sheetData>
    <row r="1" spans="1:18" x14ac:dyDescent="0.2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 x14ac:dyDescent="0.2">
      <c r="A2" s="20" t="s">
        <v>44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x14ac:dyDescent="0.2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x14ac:dyDescent="0.2">
      <c r="A5" s="51" t="s">
        <v>1</v>
      </c>
      <c r="B5" s="53" t="s">
        <v>2</v>
      </c>
      <c r="C5" s="55" t="s">
        <v>3</v>
      </c>
      <c r="D5" s="55"/>
      <c r="E5" s="55"/>
      <c r="F5" s="55"/>
      <c r="G5" s="55"/>
      <c r="H5" s="55"/>
      <c r="I5" s="55"/>
      <c r="J5" s="53" t="s">
        <v>4</v>
      </c>
      <c r="K5" s="53"/>
      <c r="L5" s="53"/>
      <c r="M5" s="53"/>
      <c r="N5" s="53"/>
      <c r="O5" s="53"/>
      <c r="P5" s="53"/>
      <c r="Q5" s="53"/>
      <c r="R5" s="53"/>
    </row>
    <row r="6" spans="1:18" ht="36" x14ac:dyDescent="0.2">
      <c r="A6" s="52"/>
      <c r="B6" s="54"/>
      <c r="C6" s="23" t="s">
        <v>5</v>
      </c>
      <c r="D6" s="23" t="s">
        <v>6</v>
      </c>
      <c r="E6" s="23" t="s">
        <v>32</v>
      </c>
      <c r="F6" s="23" t="s">
        <v>8</v>
      </c>
      <c r="G6" s="23" t="s">
        <v>9</v>
      </c>
      <c r="H6" s="23" t="s">
        <v>10</v>
      </c>
      <c r="I6" s="23" t="s">
        <v>35</v>
      </c>
      <c r="J6" s="24" t="s">
        <v>11</v>
      </c>
      <c r="K6" s="23" t="s">
        <v>12</v>
      </c>
      <c r="L6" s="23" t="s">
        <v>13</v>
      </c>
      <c r="M6" s="23" t="s">
        <v>14</v>
      </c>
      <c r="N6" s="23" t="s">
        <v>15</v>
      </c>
      <c r="O6" s="23" t="s">
        <v>16</v>
      </c>
      <c r="P6" s="23" t="s">
        <v>17</v>
      </c>
      <c r="Q6" s="23" t="s">
        <v>34</v>
      </c>
      <c r="R6" s="23" t="s">
        <v>19</v>
      </c>
    </row>
    <row r="7" spans="1:18" ht="14.25" x14ac:dyDescent="0.2">
      <c r="A7" s="25" t="s">
        <v>52</v>
      </c>
      <c r="B7" s="39">
        <f>AVERAGE(B8:B19)</f>
        <v>363.15374016001033</v>
      </c>
      <c r="C7" s="39">
        <f t="shared" ref="C7:R7" si="0">AVERAGE(C8:C19)</f>
        <v>288.40643467741938</v>
      </c>
      <c r="D7" s="39">
        <f t="shared" si="0"/>
        <v>148.07301445212497</v>
      </c>
      <c r="E7" s="39">
        <f t="shared" si="0"/>
        <v>32.529873892729135</v>
      </c>
      <c r="F7" s="39">
        <f t="shared" si="0"/>
        <v>9.8072657450076779</v>
      </c>
      <c r="G7" s="39">
        <f t="shared" si="0"/>
        <v>11.37972734254992</v>
      </c>
      <c r="H7" s="39">
        <f t="shared" si="0"/>
        <v>3.8760146825396817</v>
      </c>
      <c r="I7" s="39">
        <f t="shared" si="0"/>
        <v>82.740538562468018</v>
      </c>
      <c r="J7" s="39">
        <f t="shared" si="0"/>
        <v>74.747305482590875</v>
      </c>
      <c r="K7" s="39">
        <f t="shared" si="0"/>
        <v>4.5928873502304155</v>
      </c>
      <c r="L7" s="39">
        <f t="shared" si="0"/>
        <v>0.98576051587301583</v>
      </c>
      <c r="M7" s="39">
        <f t="shared" si="0"/>
        <v>13.143432859703021</v>
      </c>
      <c r="N7" s="39">
        <f t="shared" si="0"/>
        <v>2.313582309267793</v>
      </c>
      <c r="O7" s="39">
        <f t="shared" si="0"/>
        <v>15.374944892473119</v>
      </c>
      <c r="P7" s="39">
        <f t="shared" si="0"/>
        <v>3.6822086533538148</v>
      </c>
      <c r="Q7" s="39">
        <f t="shared" si="0"/>
        <v>6.68606950844854</v>
      </c>
      <c r="R7" s="39">
        <f t="shared" si="0"/>
        <v>27.968419393241167</v>
      </c>
    </row>
    <row r="8" spans="1:18" x14ac:dyDescent="0.2">
      <c r="A8" s="37" t="s">
        <v>20</v>
      </c>
      <c r="B8" s="39">
        <f>SUM(C8,J8)</f>
        <v>401.89987096774195</v>
      </c>
      <c r="C8" s="39">
        <f>SUM(D8:I8)</f>
        <v>311.28277419354839</v>
      </c>
      <c r="D8" s="40">
        <v>155.96729032258065</v>
      </c>
      <c r="E8" s="40">
        <v>33.703387096774193</v>
      </c>
      <c r="F8" s="40">
        <v>12.94032258064516</v>
      </c>
      <c r="G8" s="40">
        <v>13.924193548387096</v>
      </c>
      <c r="H8" s="40">
        <v>6.2450645161290321</v>
      </c>
      <c r="I8" s="40">
        <v>88.502516129032259</v>
      </c>
      <c r="J8" s="39">
        <f>SUM(K8:R8)</f>
        <v>90.617096774193556</v>
      </c>
      <c r="K8" s="40">
        <v>4.5632903225806452</v>
      </c>
      <c r="L8" s="40">
        <v>1.1846129032258064</v>
      </c>
      <c r="M8" s="40">
        <f>+'[1]produccion -MGD'!$C$28</f>
        <v>17.174516129032256</v>
      </c>
      <c r="N8" s="40">
        <v>3.9864516129032257</v>
      </c>
      <c r="O8" s="40">
        <v>15.101612903225806</v>
      </c>
      <c r="P8" s="40">
        <v>6.0064516129032253</v>
      </c>
      <c r="Q8" s="40">
        <v>11.764193548387096</v>
      </c>
      <c r="R8" s="40">
        <f>+'[1]produccion -MGD'!$C$14+'[1]produccion -MGD'!$C$15+'[1]produccion -MGD'!$C$18+'[1]produccion -MGD'!$C$20+'[1]produccion -MGD'!$C$24+'[1]produccion -MGD'!$C$25+'[1]produccion -MGD'!$C$26+'[1]produccion -MGD'!$C$29+'[1]produccion -MGD'!$C$35</f>
        <v>30.835967741935484</v>
      </c>
    </row>
    <row r="9" spans="1:18" x14ac:dyDescent="0.2">
      <c r="A9" s="37" t="s">
        <v>21</v>
      </c>
      <c r="B9" s="39">
        <f t="shared" ref="B9:B19" si="1">SUM(C9,J9)</f>
        <v>384.97671428571425</v>
      </c>
      <c r="C9" s="39">
        <f t="shared" ref="C9:C19" si="2">SUM(D9:I9)</f>
        <v>296.19749999999999</v>
      </c>
      <c r="D9" s="40">
        <v>151.1392142857143</v>
      </c>
      <c r="E9" s="40">
        <v>33.604607142857141</v>
      </c>
      <c r="F9" s="40">
        <v>9.8392857142857135</v>
      </c>
      <c r="G9" s="40">
        <v>11.017857142857142</v>
      </c>
      <c r="H9" s="40">
        <v>5.0276428571428573</v>
      </c>
      <c r="I9" s="40">
        <v>85.568892857142856</v>
      </c>
      <c r="J9" s="39">
        <f t="shared" ref="J9:J19" si="3">SUM(K9:R9)</f>
        <v>88.779214285714289</v>
      </c>
      <c r="K9" s="40">
        <v>5.3283214285714289</v>
      </c>
      <c r="L9" s="40">
        <v>1.262892857142857</v>
      </c>
      <c r="M9" s="40">
        <f>+'[1]produccion -MGD'!$D$28</f>
        <v>14.121785714285716</v>
      </c>
      <c r="N9" s="40">
        <v>4.1064285714285713</v>
      </c>
      <c r="O9" s="40">
        <v>16.482499999999998</v>
      </c>
      <c r="P9" s="40">
        <v>4.3714285714285719</v>
      </c>
      <c r="Q9" s="40">
        <v>11.849285714285713</v>
      </c>
      <c r="R9" s="40">
        <f>+'[1]produccion -MGD'!$D$14+'[1]produccion -MGD'!$D$15+'[1]produccion -MGD'!$D$18+'[1]produccion -MGD'!$D$20+'[1]produccion -MGD'!$D$24+'[1]produccion -MGD'!$D$25+'[1]produccion -MGD'!$D$26+'[1]produccion -MGD'!$D$29+'[1]produccion -MGD'!$D$35</f>
        <v>31.256571428571426</v>
      </c>
    </row>
    <row r="10" spans="1:18" x14ac:dyDescent="0.2">
      <c r="A10" s="37" t="s">
        <v>22</v>
      </c>
      <c r="B10" s="39">
        <f t="shared" si="1"/>
        <v>363.78506451612907</v>
      </c>
      <c r="C10" s="39">
        <f t="shared" si="2"/>
        <v>274.3651290322581</v>
      </c>
      <c r="D10" s="40">
        <v>148.04425806451613</v>
      </c>
      <c r="E10" s="40">
        <v>28.329387096774195</v>
      </c>
      <c r="F10" s="40">
        <v>6.67741935483871</v>
      </c>
      <c r="G10" s="40">
        <v>7.645161290322581</v>
      </c>
      <c r="H10" s="40">
        <v>3.9586451612903226</v>
      </c>
      <c r="I10" s="40">
        <v>79.710258064516125</v>
      </c>
      <c r="J10" s="39">
        <f t="shared" si="3"/>
        <v>89.419935483870958</v>
      </c>
      <c r="K10" s="40">
        <v>5.0717096774193555</v>
      </c>
      <c r="L10" s="40">
        <v>1.1144516129032258</v>
      </c>
      <c r="M10" s="40">
        <f>+'[1]produccion -MGD'!$E$28</f>
        <v>17.176774193548386</v>
      </c>
      <c r="N10" s="40">
        <v>4.1416129032258064</v>
      </c>
      <c r="O10" s="40">
        <v>15.606451612903227</v>
      </c>
      <c r="P10" s="40">
        <v>4.6332258064516125</v>
      </c>
      <c r="Q10" s="40">
        <v>10.712580645161289</v>
      </c>
      <c r="R10" s="40">
        <f>+'[1]produccion -MGD'!$E$14+'[1]produccion -MGD'!$E$15+'[1]produccion -MGD'!$E$18+'[1]produccion -MGD'!$E$20+'[1]produccion -MGD'!$E$24+'[1]produccion -MGD'!$E$25+'[1]produccion -MGD'!$E$26+'[1]produccion -MGD'!$E$29+'[1]produccion -MGD'!$E$35</f>
        <v>30.963129032258063</v>
      </c>
    </row>
    <row r="11" spans="1:18" x14ac:dyDescent="0.2">
      <c r="A11" s="37" t="s">
        <v>23</v>
      </c>
      <c r="B11" s="39">
        <f t="shared" si="1"/>
        <v>365.78046666666671</v>
      </c>
      <c r="C11" s="39">
        <f t="shared" si="2"/>
        <v>281.39896666666669</v>
      </c>
      <c r="D11" s="40">
        <v>145.72760000000002</v>
      </c>
      <c r="E11" s="40">
        <v>28.503399999999999</v>
      </c>
      <c r="F11" s="40">
        <v>7.9749999999999996</v>
      </c>
      <c r="G11" s="40">
        <v>9.5333333333333332</v>
      </c>
      <c r="H11" s="40">
        <v>2.8485333333333336</v>
      </c>
      <c r="I11" s="40">
        <v>86.811099999999996</v>
      </c>
      <c r="J11" s="39">
        <f t="shared" si="3"/>
        <v>84.381499999999988</v>
      </c>
      <c r="K11" s="40">
        <v>4.6674333333333333</v>
      </c>
      <c r="L11" s="40">
        <v>0.81649999999999989</v>
      </c>
      <c r="M11" s="40">
        <f>+'[1]produccion -MGD'!$F$28</f>
        <v>14.677666666666665</v>
      </c>
      <c r="N11" s="40">
        <v>3.9163333333333332</v>
      </c>
      <c r="O11" s="40">
        <v>16.571333333333332</v>
      </c>
      <c r="P11" s="40">
        <v>5.8683333333333341</v>
      </c>
      <c r="Q11" s="40">
        <v>10.848666666666666</v>
      </c>
      <c r="R11" s="40">
        <f>+'[1]produccion -MGD'!$F$14+'[1]produccion -MGD'!$F$15+'[1]produccion -MGD'!$F$18+'[1]produccion -MGD'!$F$20+'[1]produccion -MGD'!$F$24+'[1]produccion -MGD'!$F$25+'[1]produccion -MGD'!$F$26+'[1]produccion -MGD'!$F$29+'[1]produccion -MGD'!$F$35</f>
        <v>27.015233333333335</v>
      </c>
    </row>
    <row r="12" spans="1:18" x14ac:dyDescent="0.2">
      <c r="A12" s="37" t="s">
        <v>24</v>
      </c>
      <c r="B12" s="39">
        <f t="shared" si="1"/>
        <v>357.13558064516127</v>
      </c>
      <c r="C12" s="39">
        <f t="shared" si="2"/>
        <v>275.4354193548387</v>
      </c>
      <c r="D12" s="40">
        <v>145.72529032258066</v>
      </c>
      <c r="E12" s="40">
        <v>27.827096774193549</v>
      </c>
      <c r="F12" s="40">
        <v>8.741935483870968</v>
      </c>
      <c r="G12" s="40">
        <v>12.946774193548388</v>
      </c>
      <c r="H12" s="40">
        <v>3.1943225806451614</v>
      </c>
      <c r="I12" s="40">
        <v>77</v>
      </c>
      <c r="J12" s="39">
        <f t="shared" si="3"/>
        <v>81.700161290322583</v>
      </c>
      <c r="K12" s="40">
        <v>4.484064516129032</v>
      </c>
      <c r="L12" s="40">
        <v>0.7382903225806452</v>
      </c>
      <c r="M12" s="40">
        <f>+'[1]produccion -MGD'!$G$28</f>
        <v>13.787741935483872</v>
      </c>
      <c r="N12" s="40">
        <v>4.0125806451612904</v>
      </c>
      <c r="O12" s="40">
        <v>15.165483870967742</v>
      </c>
      <c r="P12" s="40">
        <v>6.1267741935483873</v>
      </c>
      <c r="Q12" s="40">
        <v>9.5138709677419353</v>
      </c>
      <c r="R12" s="40">
        <f>+'[1]produccion -MGD'!$G$14+'[1]produccion -MGD'!$G$15+'[1]produccion -MGD'!$G$18+'[1]produccion -MGD'!$G$20+'[1]produccion -MGD'!$G$24+'[1]produccion -MGD'!$G$25+'[1]produccion -MGD'!$G$26+'[1]produccion -MGD'!$G$29+'[1]produccion -MGD'!$G$35</f>
        <v>27.871354838709678</v>
      </c>
    </row>
    <row r="13" spans="1:18" x14ac:dyDescent="0.2">
      <c r="A13" s="37" t="s">
        <v>25</v>
      </c>
      <c r="B13" s="39">
        <f t="shared" si="1"/>
        <v>356.46906666666661</v>
      </c>
      <c r="C13" s="39">
        <f t="shared" si="2"/>
        <v>282.52803333333327</v>
      </c>
      <c r="D13" s="40">
        <v>147.40133333333333</v>
      </c>
      <c r="E13" s="40">
        <v>27.095833333333335</v>
      </c>
      <c r="F13" s="40">
        <v>11.004999999999999</v>
      </c>
      <c r="G13" s="40">
        <v>12.546666666666665</v>
      </c>
      <c r="H13" s="40">
        <v>2.9415333333333331</v>
      </c>
      <c r="I13" s="40">
        <v>81.537666666666667</v>
      </c>
      <c r="J13" s="39">
        <f t="shared" si="3"/>
        <v>73.941033333333323</v>
      </c>
      <c r="K13" s="40">
        <v>4.7110666666666665</v>
      </c>
      <c r="L13" s="40">
        <v>0.83699999999999997</v>
      </c>
      <c r="M13" s="40">
        <f>+'[1]produccion -MGD'!$H$28</f>
        <v>10.442666666666666</v>
      </c>
      <c r="N13" s="40">
        <v>3.1469999999999998</v>
      </c>
      <c r="O13" s="40">
        <v>13.756666666666666</v>
      </c>
      <c r="P13" s="40">
        <v>5.4790000000000001</v>
      </c>
      <c r="Q13" s="40">
        <v>8.2713333333333328</v>
      </c>
      <c r="R13" s="40">
        <f>+'[1]produccion -MGD'!$H$14+'[1]produccion -MGD'!$H$15+'[1]produccion -MGD'!$H$18+'[1]produccion -MGD'!$H$20+'[1]produccion -MGD'!$H$24+'[1]produccion -MGD'!$H$25+'[1]produccion -MGD'!$H$26+'[1]produccion -MGD'!$H$29+'[1]produccion -MGD'!$H$35</f>
        <v>27.296299999999999</v>
      </c>
    </row>
    <row r="14" spans="1:18" x14ac:dyDescent="0.2">
      <c r="A14" s="37" t="s">
        <v>26</v>
      </c>
      <c r="B14" s="39">
        <f t="shared" si="1"/>
        <v>352.67880645161296</v>
      </c>
      <c r="C14" s="39">
        <f t="shared" si="2"/>
        <v>278.80996774193551</v>
      </c>
      <c r="D14" s="40">
        <v>148.84696774193549</v>
      </c>
      <c r="E14" s="40">
        <v>25.428387096774191</v>
      </c>
      <c r="F14" s="40">
        <v>9.9903225806451612</v>
      </c>
      <c r="G14" s="40">
        <v>13.287096774193548</v>
      </c>
      <c r="H14" s="40">
        <v>2.5271290322580642</v>
      </c>
      <c r="I14" s="40">
        <v>78.730064516129033</v>
      </c>
      <c r="J14" s="39">
        <f t="shared" si="3"/>
        <v>73.868838709677433</v>
      </c>
      <c r="K14" s="40">
        <v>4.3400645161290319</v>
      </c>
      <c r="L14" s="40">
        <v>0.88790322580645153</v>
      </c>
      <c r="M14" s="40">
        <f>+'[1]produccion -MGD'!$I$28</f>
        <v>12.205806451612903</v>
      </c>
      <c r="N14" s="40">
        <v>2.2661290322580645</v>
      </c>
      <c r="O14" s="40">
        <v>13.199032258064516</v>
      </c>
      <c r="P14" s="40">
        <v>5.8506451612903225</v>
      </c>
      <c r="Q14" s="40">
        <v>8.6167741935483875</v>
      </c>
      <c r="R14" s="40">
        <f>+'[1]produccion -MGD'!$I$14+'[1]produccion -MGD'!$I$15+'[1]produccion -MGD'!$I$18+'[1]produccion -MGD'!$I$20+'[1]produccion -MGD'!$I$24+'[1]produccion -MGD'!$I$25+'[1]produccion -MGD'!$I$26+'[1]produccion -MGD'!$I$29+'[1]produccion -MGD'!$I$35</f>
        <v>26.502483870967747</v>
      </c>
    </row>
    <row r="15" spans="1:18" x14ac:dyDescent="0.2">
      <c r="A15" s="37" t="s">
        <v>27</v>
      </c>
      <c r="B15" s="39">
        <f t="shared" si="1"/>
        <v>361.32296774193549</v>
      </c>
      <c r="C15" s="39">
        <f t="shared" si="2"/>
        <v>287.79377419354842</v>
      </c>
      <c r="D15" s="40">
        <v>149.06825806451613</v>
      </c>
      <c r="E15" s="40">
        <v>25.934354838709677</v>
      </c>
      <c r="F15" s="40">
        <v>12.364516129032259</v>
      </c>
      <c r="G15" s="40">
        <v>12.208064516129031</v>
      </c>
      <c r="H15" s="40">
        <v>4.1339032258064519</v>
      </c>
      <c r="I15" s="40">
        <v>84.084677419354833</v>
      </c>
      <c r="J15" s="39">
        <f t="shared" si="3"/>
        <v>73.529193548387099</v>
      </c>
      <c r="K15" s="40">
        <v>4.2890322580645162</v>
      </c>
      <c r="L15" s="40">
        <v>0.67377419354838708</v>
      </c>
      <c r="M15" s="40">
        <f>+'[1]produccion -MGD'!$J$28</f>
        <v>12.16483870967742</v>
      </c>
      <c r="N15" s="40">
        <v>2.1864516129032259</v>
      </c>
      <c r="O15" s="40">
        <v>13.45483870967742</v>
      </c>
      <c r="P15" s="40">
        <v>5.8506451612903225</v>
      </c>
      <c r="Q15" s="40">
        <v>8.6561290322580628</v>
      </c>
      <c r="R15" s="40">
        <f>+'[1]produccion -MGD'!$J$14+'[1]produccion -MGD'!$J$15+'[1]produccion -MGD'!$J$18+'[1]produccion -MGD'!$J$20+'[1]produccion -MGD'!$J$24+'[1]produccion -MGD'!$J$25+'[1]produccion -MGD'!$J$26+'[1]produccion -MGD'!$J$29+'[1]produccion -MGD'!$J$35</f>
        <v>26.253483870967742</v>
      </c>
    </row>
    <row r="16" spans="1:18" x14ac:dyDescent="0.2">
      <c r="A16" s="37" t="s">
        <v>28</v>
      </c>
      <c r="B16" s="39">
        <f t="shared" si="1"/>
        <v>368.92463333333336</v>
      </c>
      <c r="C16" s="39">
        <f t="shared" si="2"/>
        <v>306.40770000000003</v>
      </c>
      <c r="D16" s="40">
        <v>149.50226666666669</v>
      </c>
      <c r="E16" s="40">
        <v>46.940033333333332</v>
      </c>
      <c r="F16" s="40">
        <v>11.305</v>
      </c>
      <c r="G16" s="40">
        <v>12.991666666666667</v>
      </c>
      <c r="H16" s="40">
        <v>4.9085666666666672</v>
      </c>
      <c r="I16" s="40">
        <v>80.760166666666663</v>
      </c>
      <c r="J16" s="39">
        <f t="shared" si="3"/>
        <v>62.516933333333334</v>
      </c>
      <c r="K16" s="40">
        <v>4.5783666666666667</v>
      </c>
      <c r="L16" s="40">
        <v>0.63180000000000003</v>
      </c>
      <c r="M16" s="40">
        <f>+'[1]produccion -MGD'!$K$28</f>
        <v>13.294</v>
      </c>
      <c r="N16" s="40">
        <v>0</v>
      </c>
      <c r="O16" s="40">
        <v>18.354666666666667</v>
      </c>
      <c r="P16" s="40">
        <v>0</v>
      </c>
      <c r="Q16" s="40">
        <v>0</v>
      </c>
      <c r="R16" s="40">
        <f>+'[1]produccion -MGD'!$K$14+'[1]produccion -MGD'!$K$15+'[1]produccion -MGD'!$K$18+'[1]produccion -MGD'!$K$20+'[1]produccion -MGD'!$K$24+'[1]produccion -MGD'!$K$25+'[1]produccion -MGD'!$K$26+'[1]produccion -MGD'!$K$29+'[1]produccion -MGD'!$K$35</f>
        <v>25.658099999999997</v>
      </c>
    </row>
    <row r="17" spans="1:18" x14ac:dyDescent="0.2">
      <c r="A17" s="37" t="s">
        <v>29</v>
      </c>
      <c r="B17" s="39">
        <f t="shared" si="1"/>
        <v>355.60380645161291</v>
      </c>
      <c r="C17" s="39">
        <f t="shared" si="2"/>
        <v>294.39335483870968</v>
      </c>
      <c r="D17" s="40">
        <v>147.4697741935484</v>
      </c>
      <c r="E17" s="40">
        <v>42.553903225806451</v>
      </c>
      <c r="F17" s="40">
        <v>9.67741935483871</v>
      </c>
      <c r="G17" s="40">
        <v>11.154838709677419</v>
      </c>
      <c r="H17" s="40">
        <v>3.6987096774193549</v>
      </c>
      <c r="I17" s="40">
        <v>79.838709677419359</v>
      </c>
      <c r="J17" s="39">
        <f t="shared" si="3"/>
        <v>61.210451612903228</v>
      </c>
      <c r="K17" s="40">
        <v>4.7251290322580646</v>
      </c>
      <c r="L17" s="40">
        <v>1.1089032258064515</v>
      </c>
      <c r="M17" s="40">
        <f>+'[1]produccion -MGD'!$L$28</f>
        <v>13.804838709677419</v>
      </c>
      <c r="N17" s="40">
        <v>0</v>
      </c>
      <c r="O17" s="40">
        <v>16.341612903225805</v>
      </c>
      <c r="P17" s="40">
        <v>0</v>
      </c>
      <c r="Q17" s="40">
        <v>0</v>
      </c>
      <c r="R17" s="40">
        <f>+'[1]produccion -MGD'!$L$14+'[1]produccion -MGD'!$L$15+'[1]produccion -MGD'!$L$18+'[1]produccion -MGD'!$L$20+'[1]produccion -MGD'!$L$24+'[1]produccion -MGD'!$L$25+'[1]produccion -MGD'!$L$26+'[1]produccion -MGD'!$L$29+'[1]produccion -MGD'!$L$35</f>
        <v>25.229967741935486</v>
      </c>
    </row>
    <row r="18" spans="1:18" x14ac:dyDescent="0.2">
      <c r="A18" s="37" t="s">
        <v>30</v>
      </c>
      <c r="B18" s="39">
        <f t="shared" si="1"/>
        <v>344.75812999999999</v>
      </c>
      <c r="C18" s="39">
        <f t="shared" si="2"/>
        <v>284.56450000000001</v>
      </c>
      <c r="D18" s="40">
        <v>145.24053333333333</v>
      </c>
      <c r="E18" s="40">
        <v>32.582000000000001</v>
      </c>
      <c r="F18" s="40">
        <v>9.3000000000000007</v>
      </c>
      <c r="G18" s="40">
        <v>9.8333333333333339</v>
      </c>
      <c r="H18" s="40">
        <v>3.6409000000000002</v>
      </c>
      <c r="I18" s="40">
        <v>83.967733333333342</v>
      </c>
      <c r="J18" s="41">
        <f>SUM(K18:R18)</f>
        <v>60.193629999999999</v>
      </c>
      <c r="K18" s="40">
        <v>4.6453633333333331</v>
      </c>
      <c r="L18" s="40">
        <v>1.2969333333333333</v>
      </c>
      <c r="M18" s="40">
        <f>+'[1]produccion -MGD'!$M$28</f>
        <v>10.647333333333334</v>
      </c>
      <c r="N18" s="40">
        <v>0</v>
      </c>
      <c r="O18" s="40">
        <v>16.869333333333334</v>
      </c>
      <c r="P18" s="40">
        <v>0</v>
      </c>
      <c r="Q18" s="40">
        <v>0</v>
      </c>
      <c r="R18" s="40">
        <f>+'[1]produccion -MGD'!$M$14+'[1]produccion -MGD'!$M$15+'[1]produccion -MGD'!$M$18+'[1]produccion -MGD'!$M$20+'[1]produccion -MGD'!$M$24+'[1]produccion -MGD'!$M$25+'[1]produccion -MGD'!$M$26+'[1]produccion -MGD'!$M$29+'[1]produccion -MGD'!$M$35</f>
        <v>26.734666666666669</v>
      </c>
    </row>
    <row r="19" spans="1:18" x14ac:dyDescent="0.2">
      <c r="A19" s="38" t="s">
        <v>31</v>
      </c>
      <c r="B19" s="42">
        <f t="shared" si="1"/>
        <v>344.50977419354837</v>
      </c>
      <c r="C19" s="42">
        <f t="shared" si="2"/>
        <v>287.70009677419353</v>
      </c>
      <c r="D19" s="43">
        <v>142.7433870967742</v>
      </c>
      <c r="E19" s="43">
        <v>37.856096774193546</v>
      </c>
      <c r="F19" s="43">
        <v>7.870967741935484</v>
      </c>
      <c r="G19" s="43">
        <v>9.4677419354838701</v>
      </c>
      <c r="H19" s="43">
        <v>3.387225806451613</v>
      </c>
      <c r="I19" s="43">
        <v>86.374677419354825</v>
      </c>
      <c r="J19" s="42">
        <f t="shared" si="3"/>
        <v>56.809677419354841</v>
      </c>
      <c r="K19" s="43">
        <v>3.7108064516129029</v>
      </c>
      <c r="L19" s="43">
        <v>1.2760645161290323</v>
      </c>
      <c r="M19" s="43">
        <f>+'[1]produccion -MGD'!$N$28</f>
        <v>8.2232258064516124</v>
      </c>
      <c r="N19" s="43">
        <v>0</v>
      </c>
      <c r="O19" s="43">
        <v>13.595806451612905</v>
      </c>
      <c r="P19" s="43">
        <v>0</v>
      </c>
      <c r="Q19" s="43">
        <v>0</v>
      </c>
      <c r="R19" s="43">
        <f>+'[1]produccion -MGD'!$N$14+'[1]produccion -MGD'!$N$15+'[1]produccion -MGD'!$N$18+'[1]produccion -MGD'!$N$20+'[1]produccion -MGD'!$N$24+'[1]produccion -MGD'!$N$25+'[1]produccion -MGD'!$N$26+'[1]produccion -MGD'!$N$29+'[1]produccion -MGD'!$N$35</f>
        <v>30.003774193548391</v>
      </c>
    </row>
    <row r="20" spans="1:18" x14ac:dyDescent="0.2">
      <c r="A20" s="17" t="s">
        <v>55</v>
      </c>
      <c r="B20" s="26"/>
      <c r="C20" s="26"/>
      <c r="D20" s="22"/>
      <c r="E20" s="22"/>
      <c r="F20" s="22"/>
      <c r="G20" s="22"/>
      <c r="H20" s="22"/>
      <c r="I20" s="22"/>
      <c r="J20" s="26"/>
      <c r="K20" s="22"/>
      <c r="L20" s="22"/>
      <c r="M20" s="22"/>
      <c r="N20" s="22"/>
      <c r="O20" s="22"/>
      <c r="P20" s="22"/>
      <c r="Q20" s="22"/>
      <c r="R20" s="22"/>
    </row>
    <row r="21" spans="1:18" ht="11.25" customHeight="1" x14ac:dyDescent="0.2">
      <c r="A21" s="17" t="s">
        <v>47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18" ht="11.25" customHeight="1" x14ac:dyDescent="0.2">
      <c r="A22" s="17" t="s">
        <v>58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spans="1:18" ht="11.25" customHeight="1" x14ac:dyDescent="0.2">
      <c r="A23" s="21" t="s">
        <v>59</v>
      </c>
      <c r="B23" s="21"/>
      <c r="C23" s="21"/>
      <c r="D23" s="21"/>
      <c r="E23" s="21"/>
      <c r="F23" s="21"/>
      <c r="G23" s="21"/>
      <c r="H23" s="21"/>
      <c r="I23" s="21"/>
      <c r="J23" s="21"/>
      <c r="K23" s="17"/>
      <c r="L23" s="17"/>
      <c r="M23" s="17"/>
      <c r="N23" s="17"/>
      <c r="O23" s="17"/>
      <c r="P23" s="17"/>
      <c r="Q23" s="17"/>
      <c r="R23" s="17"/>
    </row>
    <row r="24" spans="1:18" x14ac:dyDescent="0.2">
      <c r="K24" s="18"/>
      <c r="L24" s="18"/>
      <c r="M24" s="18"/>
      <c r="N24" s="18"/>
      <c r="O24" s="18"/>
      <c r="P24" s="18"/>
      <c r="Q24" s="18"/>
      <c r="R24" s="18"/>
    </row>
  </sheetData>
  <mergeCells count="5">
    <mergeCell ref="A1:R1"/>
    <mergeCell ref="A5:A6"/>
    <mergeCell ref="B5:B6"/>
    <mergeCell ref="C5:I5"/>
    <mergeCell ref="J5:R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4"/>
  <sheetViews>
    <sheetView workbookViewId="0">
      <selection activeCell="A24" sqref="A24"/>
    </sheetView>
  </sheetViews>
  <sheetFormatPr baseColWidth="10" defaultColWidth="11.42578125" defaultRowHeight="12" x14ac:dyDescent="0.2"/>
  <cols>
    <col min="1" max="4" width="11.42578125" style="5"/>
    <col min="5" max="5" width="12.7109375" style="5" customWidth="1"/>
    <col min="6" max="16384" width="11.42578125" style="5"/>
  </cols>
  <sheetData>
    <row r="1" spans="1:18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x14ac:dyDescent="0.2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">
      <c r="A5" s="45" t="s">
        <v>1</v>
      </c>
      <c r="B5" s="47" t="s">
        <v>2</v>
      </c>
      <c r="C5" s="49" t="s">
        <v>3</v>
      </c>
      <c r="D5" s="49"/>
      <c r="E5" s="49"/>
      <c r="F5" s="49"/>
      <c r="G5" s="49"/>
      <c r="H5" s="49"/>
      <c r="I5" s="49"/>
      <c r="J5" s="47" t="s">
        <v>4</v>
      </c>
      <c r="K5" s="47"/>
      <c r="L5" s="47"/>
      <c r="M5" s="47"/>
      <c r="N5" s="47"/>
      <c r="O5" s="47"/>
      <c r="P5" s="47"/>
      <c r="Q5" s="47"/>
      <c r="R5" s="47"/>
    </row>
    <row r="6" spans="1:18" ht="36" x14ac:dyDescent="0.2">
      <c r="A6" s="46"/>
      <c r="B6" s="48"/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35</v>
      </c>
      <c r="J6" s="13" t="s">
        <v>11</v>
      </c>
      <c r="K6" s="12" t="s">
        <v>12</v>
      </c>
      <c r="L6" s="12" t="s">
        <v>13</v>
      </c>
      <c r="M6" s="12" t="s">
        <v>14</v>
      </c>
      <c r="N6" s="12" t="s">
        <v>15</v>
      </c>
      <c r="O6" s="12" t="s">
        <v>16</v>
      </c>
      <c r="P6" s="12" t="s">
        <v>17</v>
      </c>
      <c r="Q6" s="12" t="s">
        <v>18</v>
      </c>
      <c r="R6" s="12" t="s">
        <v>19</v>
      </c>
    </row>
    <row r="7" spans="1:18" ht="14.25" x14ac:dyDescent="0.2">
      <c r="A7" s="14" t="s">
        <v>52</v>
      </c>
      <c r="B7" s="33">
        <f>AVERAGE(B8:B19)</f>
        <v>343.36558333333329</v>
      </c>
      <c r="C7" s="33">
        <f t="shared" ref="C7:R7" si="0">AVERAGE(C8:C19)</f>
        <v>276.84916666666663</v>
      </c>
      <c r="D7" s="33">
        <f t="shared" si="0"/>
        <v>135.17316666666667</v>
      </c>
      <c r="E7" s="33">
        <f t="shared" si="0"/>
        <v>52.045416666666661</v>
      </c>
      <c r="F7" s="33">
        <f t="shared" si="0"/>
        <v>8.344083333333332</v>
      </c>
      <c r="G7" s="33">
        <f t="shared" si="0"/>
        <v>10.030416666666666</v>
      </c>
      <c r="H7" s="33">
        <f t="shared" si="0"/>
        <v>3.8646666666666665</v>
      </c>
      <c r="I7" s="33">
        <f t="shared" si="0"/>
        <v>67.391416666666657</v>
      </c>
      <c r="J7" s="33">
        <f t="shared" si="0"/>
        <v>66.516416666666672</v>
      </c>
      <c r="K7" s="33">
        <f t="shared" si="0"/>
        <v>4.7080000000000002</v>
      </c>
      <c r="L7" s="33">
        <f t="shared" si="0"/>
        <v>1.0019166666666666</v>
      </c>
      <c r="M7" s="33">
        <f t="shared" si="0"/>
        <v>14.102083333333335</v>
      </c>
      <c r="N7" s="33" t="s">
        <v>50</v>
      </c>
      <c r="O7" s="33">
        <f t="shared" si="0"/>
        <v>16.508666666666667</v>
      </c>
      <c r="P7" s="33" t="s">
        <v>50</v>
      </c>
      <c r="Q7" s="33" t="s">
        <v>50</v>
      </c>
      <c r="R7" s="33">
        <f t="shared" si="0"/>
        <v>30.19575</v>
      </c>
    </row>
    <row r="8" spans="1:18" x14ac:dyDescent="0.2">
      <c r="A8" s="4" t="s">
        <v>20</v>
      </c>
      <c r="B8" s="33">
        <f>SUM(C8,J8)</f>
        <v>343.57</v>
      </c>
      <c r="C8" s="33">
        <f>SUM(D8:I8)</f>
        <v>283.02</v>
      </c>
      <c r="D8" s="34">
        <v>139.24</v>
      </c>
      <c r="E8" s="34">
        <v>44.42</v>
      </c>
      <c r="F8" s="34">
        <v>8.81</v>
      </c>
      <c r="G8" s="34">
        <v>9.4499999999999993</v>
      </c>
      <c r="H8" s="34">
        <v>3.5</v>
      </c>
      <c r="I8" s="34">
        <v>77.599999999999994</v>
      </c>
      <c r="J8" s="33">
        <f>SUM(K8:R8)</f>
        <v>60.550000000000004</v>
      </c>
      <c r="K8" s="34">
        <v>4.74</v>
      </c>
      <c r="L8" s="34">
        <v>1.1299999999999999</v>
      </c>
      <c r="M8" s="34">
        <v>12.02</v>
      </c>
      <c r="N8" s="34" t="s">
        <v>50</v>
      </c>
      <c r="O8" s="34">
        <v>12.81</v>
      </c>
      <c r="P8" s="34" t="s">
        <v>50</v>
      </c>
      <c r="Q8" s="34" t="s">
        <v>50</v>
      </c>
      <c r="R8" s="34">
        <f>11.58+18.27</f>
        <v>29.85</v>
      </c>
    </row>
    <row r="9" spans="1:18" x14ac:dyDescent="0.2">
      <c r="A9" s="4" t="s">
        <v>21</v>
      </c>
      <c r="B9" s="33">
        <f t="shared" ref="B9:B19" si="1">SUM(C9,J9)</f>
        <v>353.88800000000003</v>
      </c>
      <c r="C9" s="33">
        <f t="shared" ref="C9:C19" si="2">SUM(D9:I9)</f>
        <v>287.51600000000002</v>
      </c>
      <c r="D9" s="34">
        <v>138.97999999999999</v>
      </c>
      <c r="E9" s="34">
        <v>53.22</v>
      </c>
      <c r="F9" s="34">
        <v>8.36</v>
      </c>
      <c r="G9" s="34">
        <v>9.41</v>
      </c>
      <c r="H9" s="34">
        <v>3.33</v>
      </c>
      <c r="I9" s="34">
        <v>74.215999999999994</v>
      </c>
      <c r="J9" s="33">
        <f t="shared" ref="J9:J19" si="3">SUM(K9:R9)</f>
        <v>66.372</v>
      </c>
      <c r="K9" s="34">
        <v>5.008</v>
      </c>
      <c r="L9" s="34">
        <v>1.232</v>
      </c>
      <c r="M9" s="34">
        <v>16.434000000000001</v>
      </c>
      <c r="N9" s="34" t="s">
        <v>50</v>
      </c>
      <c r="O9" s="34">
        <v>13.176</v>
      </c>
      <c r="P9" s="34" t="s">
        <v>50</v>
      </c>
      <c r="Q9" s="34" t="s">
        <v>50</v>
      </c>
      <c r="R9" s="34">
        <f>12.07+18.452</f>
        <v>30.522000000000002</v>
      </c>
    </row>
    <row r="10" spans="1:18" x14ac:dyDescent="0.2">
      <c r="A10" s="4" t="s">
        <v>22</v>
      </c>
      <c r="B10" s="33">
        <f t="shared" si="1"/>
        <v>337.73099999999999</v>
      </c>
      <c r="C10" s="33">
        <f t="shared" si="2"/>
        <v>275.24599999999998</v>
      </c>
      <c r="D10" s="34">
        <v>136.61600000000001</v>
      </c>
      <c r="E10" s="34">
        <v>43.084000000000003</v>
      </c>
      <c r="F10" s="34">
        <v>8.1940000000000008</v>
      </c>
      <c r="G10" s="34">
        <v>9.452</v>
      </c>
      <c r="H10" s="34">
        <v>3.2250000000000001</v>
      </c>
      <c r="I10" s="34">
        <v>74.674999999999997</v>
      </c>
      <c r="J10" s="33">
        <f t="shared" si="3"/>
        <v>62.484999999999999</v>
      </c>
      <c r="K10" s="34">
        <v>4.4779999999999998</v>
      </c>
      <c r="L10" s="34">
        <v>1.194</v>
      </c>
      <c r="M10" s="34">
        <v>12.917999999999999</v>
      </c>
      <c r="N10" s="34" t="s">
        <v>50</v>
      </c>
      <c r="O10" s="34">
        <v>13.403</v>
      </c>
      <c r="P10" s="34" t="s">
        <v>50</v>
      </c>
      <c r="Q10" s="34" t="s">
        <v>50</v>
      </c>
      <c r="R10" s="34">
        <f>18.78+11.712</f>
        <v>30.492000000000001</v>
      </c>
    </row>
    <row r="11" spans="1:18" x14ac:dyDescent="0.2">
      <c r="A11" s="4" t="s">
        <v>23</v>
      </c>
      <c r="B11" s="33">
        <f t="shared" si="1"/>
        <v>321.01</v>
      </c>
      <c r="C11" s="33">
        <f t="shared" si="2"/>
        <v>261.142</v>
      </c>
      <c r="D11" s="34">
        <v>132.709</v>
      </c>
      <c r="E11" s="34">
        <v>40.030999999999999</v>
      </c>
      <c r="F11" s="34">
        <v>8.4169999999999998</v>
      </c>
      <c r="G11" s="34">
        <v>9.0169999999999995</v>
      </c>
      <c r="H11" s="34">
        <v>1.819</v>
      </c>
      <c r="I11" s="34">
        <v>69.149000000000001</v>
      </c>
      <c r="J11" s="33">
        <f t="shared" si="3"/>
        <v>59.868000000000002</v>
      </c>
      <c r="K11" s="34">
        <v>4.5869999999999997</v>
      </c>
      <c r="L11" s="34">
        <v>1.145</v>
      </c>
      <c r="M11" s="34">
        <v>11.592000000000001</v>
      </c>
      <c r="N11" s="34" t="s">
        <v>50</v>
      </c>
      <c r="O11" s="34">
        <v>14.234</v>
      </c>
      <c r="P11" s="34" t="s">
        <v>50</v>
      </c>
      <c r="Q11" s="34" t="s">
        <v>50</v>
      </c>
      <c r="R11" s="34">
        <f>11.537+16.773</f>
        <v>28.310000000000002</v>
      </c>
    </row>
    <row r="12" spans="1:18" x14ac:dyDescent="0.2">
      <c r="A12" s="4" t="s">
        <v>24</v>
      </c>
      <c r="B12" s="33">
        <f t="shared" si="1"/>
        <v>337.41399999999999</v>
      </c>
      <c r="C12" s="33">
        <f t="shared" si="2"/>
        <v>272.03999999999996</v>
      </c>
      <c r="D12" s="34">
        <v>129.959</v>
      </c>
      <c r="E12" s="34">
        <v>53.555</v>
      </c>
      <c r="F12" s="34">
        <v>7.6289999999999996</v>
      </c>
      <c r="G12" s="34">
        <v>8</v>
      </c>
      <c r="H12" s="34">
        <v>3.4319999999999999</v>
      </c>
      <c r="I12" s="34">
        <v>69.465000000000003</v>
      </c>
      <c r="J12" s="33">
        <f t="shared" si="3"/>
        <v>65.373999999999995</v>
      </c>
      <c r="K12" s="34">
        <v>4.8319999999999999</v>
      </c>
      <c r="L12" s="34">
        <v>1.105</v>
      </c>
      <c r="M12" s="34">
        <v>11.243</v>
      </c>
      <c r="N12" s="34" t="s">
        <v>50</v>
      </c>
      <c r="O12" s="34">
        <v>19.535</v>
      </c>
      <c r="P12" s="34" t="s">
        <v>50</v>
      </c>
      <c r="Q12" s="34" t="s">
        <v>50</v>
      </c>
      <c r="R12" s="34">
        <f>11.681+16.978</f>
        <v>28.658999999999999</v>
      </c>
    </row>
    <row r="13" spans="1:18" x14ac:dyDescent="0.2">
      <c r="A13" s="4" t="s">
        <v>25</v>
      </c>
      <c r="B13" s="33">
        <f t="shared" si="1"/>
        <v>314.351</v>
      </c>
      <c r="C13" s="33">
        <f t="shared" si="2"/>
        <v>250.41500000000002</v>
      </c>
      <c r="D13" s="34">
        <v>126.93300000000001</v>
      </c>
      <c r="E13" s="34">
        <v>42.222000000000001</v>
      </c>
      <c r="F13" s="34">
        <v>4.8</v>
      </c>
      <c r="G13" s="34">
        <v>5.2670000000000003</v>
      </c>
      <c r="H13" s="34">
        <v>3.7090000000000001</v>
      </c>
      <c r="I13" s="34">
        <v>67.483999999999995</v>
      </c>
      <c r="J13" s="33">
        <f t="shared" si="3"/>
        <v>63.936000000000007</v>
      </c>
      <c r="K13" s="34">
        <v>3.996</v>
      </c>
      <c r="L13" s="34">
        <v>0.96299999999999997</v>
      </c>
      <c r="M13" s="34">
        <v>10.887</v>
      </c>
      <c r="N13" s="34" t="s">
        <v>50</v>
      </c>
      <c r="O13" s="34">
        <v>19.396000000000001</v>
      </c>
      <c r="P13" s="34" t="s">
        <v>50</v>
      </c>
      <c r="Q13" s="34" t="s">
        <v>50</v>
      </c>
      <c r="R13" s="34">
        <f>12.191+16.503</f>
        <v>28.694000000000003</v>
      </c>
    </row>
    <row r="14" spans="1:18" x14ac:dyDescent="0.2">
      <c r="A14" s="4" t="s">
        <v>26</v>
      </c>
      <c r="B14" s="33">
        <f t="shared" si="1"/>
        <v>304.96600000000001</v>
      </c>
      <c r="C14" s="33">
        <f t="shared" si="2"/>
        <v>239.91500000000002</v>
      </c>
      <c r="D14" s="34">
        <v>126.40300000000001</v>
      </c>
      <c r="E14" s="34">
        <v>44.557000000000002</v>
      </c>
      <c r="F14" s="34">
        <v>4.5970000000000004</v>
      </c>
      <c r="G14" s="34">
        <v>5.8869999999999996</v>
      </c>
      <c r="H14" s="34">
        <v>4.3609999999999998</v>
      </c>
      <c r="I14" s="34">
        <v>54.11</v>
      </c>
      <c r="J14" s="33">
        <f t="shared" si="3"/>
        <v>65.051000000000016</v>
      </c>
      <c r="K14" s="34">
        <v>5.0350000000000001</v>
      </c>
      <c r="L14" s="34">
        <v>0.89400000000000002</v>
      </c>
      <c r="M14" s="34">
        <v>13.542999999999999</v>
      </c>
      <c r="N14" s="34" t="s">
        <v>50</v>
      </c>
      <c r="O14" s="34">
        <v>16.809000000000001</v>
      </c>
      <c r="P14" s="34" t="s">
        <v>50</v>
      </c>
      <c r="Q14" s="34" t="s">
        <v>50</v>
      </c>
      <c r="R14" s="34">
        <f>12.278+16.492</f>
        <v>28.770000000000003</v>
      </c>
    </row>
    <row r="15" spans="1:18" x14ac:dyDescent="0.2">
      <c r="A15" s="4" t="s">
        <v>27</v>
      </c>
      <c r="B15" s="33">
        <f t="shared" si="1"/>
        <v>326.68600000000004</v>
      </c>
      <c r="C15" s="33">
        <f t="shared" si="2"/>
        <v>263.786</v>
      </c>
      <c r="D15" s="34">
        <v>128.185</v>
      </c>
      <c r="E15" s="34">
        <v>60.889000000000003</v>
      </c>
      <c r="F15" s="34">
        <v>6.9290000000000003</v>
      </c>
      <c r="G15" s="34">
        <v>11.571</v>
      </c>
      <c r="H15" s="34">
        <v>4.7560000000000002</v>
      </c>
      <c r="I15" s="34">
        <v>51.456000000000003</v>
      </c>
      <c r="J15" s="33">
        <f t="shared" si="3"/>
        <v>62.900000000000006</v>
      </c>
      <c r="K15" s="34">
        <v>4.9649999999999999</v>
      </c>
      <c r="L15" s="34">
        <v>0.74</v>
      </c>
      <c r="M15" s="34">
        <v>13.147</v>
      </c>
      <c r="N15" s="34" t="s">
        <v>50</v>
      </c>
      <c r="O15" s="34">
        <v>15.143000000000001</v>
      </c>
      <c r="P15" s="34" t="s">
        <v>50</v>
      </c>
      <c r="Q15" s="34" t="s">
        <v>50</v>
      </c>
      <c r="R15" s="34">
        <f>13.242+15.663</f>
        <v>28.905000000000001</v>
      </c>
    </row>
    <row r="16" spans="1:18" x14ac:dyDescent="0.2">
      <c r="A16" s="4" t="s">
        <v>28</v>
      </c>
      <c r="B16" s="33">
        <f t="shared" si="1"/>
        <v>353.88599999999997</v>
      </c>
      <c r="C16" s="33">
        <f t="shared" si="2"/>
        <v>286.387</v>
      </c>
      <c r="D16" s="34">
        <v>141.74</v>
      </c>
      <c r="E16" s="34">
        <v>60.948</v>
      </c>
      <c r="F16" s="34">
        <v>13.91</v>
      </c>
      <c r="G16" s="34">
        <v>13.709</v>
      </c>
      <c r="H16" s="34">
        <v>4.5780000000000003</v>
      </c>
      <c r="I16" s="34">
        <v>51.502000000000002</v>
      </c>
      <c r="J16" s="33">
        <f t="shared" si="3"/>
        <v>67.498999999999995</v>
      </c>
      <c r="K16" s="34">
        <v>4.532</v>
      </c>
      <c r="L16" s="34">
        <v>0.79900000000000004</v>
      </c>
      <c r="M16" s="34">
        <v>14.563000000000001</v>
      </c>
      <c r="N16" s="34" t="s">
        <v>50</v>
      </c>
      <c r="O16" s="34">
        <v>18.181000000000001</v>
      </c>
      <c r="P16" s="34" t="s">
        <v>50</v>
      </c>
      <c r="Q16" s="34" t="s">
        <v>50</v>
      </c>
      <c r="R16" s="34">
        <f>13.837+15.587</f>
        <v>29.423999999999999</v>
      </c>
    </row>
    <row r="17" spans="1:18" x14ac:dyDescent="0.2">
      <c r="A17" s="4" t="s">
        <v>29</v>
      </c>
      <c r="B17" s="33">
        <f t="shared" si="1"/>
        <v>358.32499999999993</v>
      </c>
      <c r="C17" s="33">
        <f t="shared" si="2"/>
        <v>284.80699999999996</v>
      </c>
      <c r="D17" s="34">
        <v>142.72</v>
      </c>
      <c r="E17" s="34">
        <v>66.227999999999994</v>
      </c>
      <c r="F17" s="34">
        <v>8.7249999999999996</v>
      </c>
      <c r="G17" s="34">
        <v>12.416</v>
      </c>
      <c r="H17" s="34">
        <v>3.7989999999999999</v>
      </c>
      <c r="I17" s="34">
        <v>50.918999999999997</v>
      </c>
      <c r="J17" s="33">
        <f t="shared" si="3"/>
        <v>73.518000000000001</v>
      </c>
      <c r="K17" s="34">
        <v>4.2240000000000002</v>
      </c>
      <c r="L17" s="34">
        <v>0.78300000000000003</v>
      </c>
      <c r="M17" s="34">
        <v>17.68</v>
      </c>
      <c r="N17" s="34" t="s">
        <v>50</v>
      </c>
      <c r="O17" s="34">
        <v>19.093</v>
      </c>
      <c r="P17" s="34" t="s">
        <v>50</v>
      </c>
      <c r="Q17" s="34" t="s">
        <v>50</v>
      </c>
      <c r="R17" s="34">
        <f>14.67+17.068</f>
        <v>31.738</v>
      </c>
    </row>
    <row r="18" spans="1:18" x14ac:dyDescent="0.2">
      <c r="A18" s="4" t="s">
        <v>30</v>
      </c>
      <c r="B18" s="33">
        <f t="shared" si="1"/>
        <v>388.43100000000004</v>
      </c>
      <c r="C18" s="33">
        <f t="shared" si="2"/>
        <v>314.14700000000005</v>
      </c>
      <c r="D18" s="34">
        <v>140.607</v>
      </c>
      <c r="E18" s="34">
        <v>65.885999999999996</v>
      </c>
      <c r="F18" s="34">
        <v>9.7469999999999999</v>
      </c>
      <c r="G18" s="34">
        <v>12.967000000000001</v>
      </c>
      <c r="H18" s="34">
        <v>5.0069999999999997</v>
      </c>
      <c r="I18" s="34">
        <v>79.933000000000007</v>
      </c>
      <c r="J18" s="33">
        <f t="shared" si="3"/>
        <v>74.284000000000006</v>
      </c>
      <c r="K18" s="34">
        <v>4.6680000000000001</v>
      </c>
      <c r="L18" s="34">
        <v>0.96599999999999997</v>
      </c>
      <c r="M18" s="34">
        <v>16.858000000000001</v>
      </c>
      <c r="N18" s="34" t="s">
        <v>50</v>
      </c>
      <c r="O18" s="34">
        <v>17.707999999999998</v>
      </c>
      <c r="P18" s="34" t="s">
        <v>50</v>
      </c>
      <c r="Q18" s="34" t="s">
        <v>50</v>
      </c>
      <c r="R18" s="34">
        <f>19.664+14.42</f>
        <v>34.084000000000003</v>
      </c>
    </row>
    <row r="19" spans="1:18" x14ac:dyDescent="0.2">
      <c r="A19" s="32" t="s">
        <v>31</v>
      </c>
      <c r="B19" s="35">
        <f t="shared" si="1"/>
        <v>380.12900000000002</v>
      </c>
      <c r="C19" s="35">
        <f t="shared" si="2"/>
        <v>303.76900000000001</v>
      </c>
      <c r="D19" s="36">
        <v>137.98599999999999</v>
      </c>
      <c r="E19" s="36">
        <v>49.505000000000003</v>
      </c>
      <c r="F19" s="36">
        <v>10.010999999999999</v>
      </c>
      <c r="G19" s="36">
        <v>13.218999999999999</v>
      </c>
      <c r="H19" s="36">
        <v>4.8600000000000003</v>
      </c>
      <c r="I19" s="36">
        <v>88.188000000000002</v>
      </c>
      <c r="J19" s="35">
        <f t="shared" si="3"/>
        <v>76.36</v>
      </c>
      <c r="K19" s="36">
        <v>5.431</v>
      </c>
      <c r="L19" s="36">
        <v>1.0720000000000001</v>
      </c>
      <c r="M19" s="36">
        <v>18.34</v>
      </c>
      <c r="N19" s="36" t="s">
        <v>50</v>
      </c>
      <c r="O19" s="36">
        <v>18.616</v>
      </c>
      <c r="P19" s="36" t="s">
        <v>50</v>
      </c>
      <c r="Q19" s="36" t="s">
        <v>50</v>
      </c>
      <c r="R19" s="36">
        <f>13.756+19.145</f>
        <v>32.900999999999996</v>
      </c>
    </row>
    <row r="20" spans="1:18" s="31" customFormat="1" x14ac:dyDescent="0.2">
      <c r="A20" s="10" t="s">
        <v>55</v>
      </c>
      <c r="B20" s="29"/>
      <c r="C20" s="29"/>
      <c r="D20" s="30"/>
      <c r="E20" s="30"/>
      <c r="F20" s="30"/>
      <c r="G20" s="30"/>
      <c r="H20" s="30"/>
      <c r="I20" s="30"/>
      <c r="J20" s="29"/>
      <c r="K20" s="30"/>
      <c r="L20" s="30"/>
      <c r="M20" s="30"/>
      <c r="N20" s="30"/>
      <c r="O20" s="30"/>
      <c r="P20" s="30"/>
      <c r="Q20" s="30"/>
      <c r="R20" s="30"/>
    </row>
    <row r="21" spans="1:18" ht="11.25" customHeight="1" x14ac:dyDescent="0.2">
      <c r="A21" s="10" t="s">
        <v>47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ht="11.25" customHeight="1" x14ac:dyDescent="0.2">
      <c r="A22" s="11" t="s">
        <v>56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ht="11.25" customHeight="1" x14ac:dyDescent="0.2">
      <c r="A23" s="10" t="s">
        <v>49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ht="11.25" customHeight="1" x14ac:dyDescent="0.2">
      <c r="A24" s="9" t="s">
        <v>60</v>
      </c>
      <c r="B24" s="9"/>
      <c r="C24" s="9"/>
      <c r="D24" s="9"/>
      <c r="E24" s="9"/>
      <c r="F24" s="9"/>
      <c r="G24" s="9"/>
      <c r="H24" s="9"/>
      <c r="I24" s="9"/>
      <c r="J24" s="9"/>
      <c r="K24" s="10"/>
      <c r="L24" s="10"/>
      <c r="M24" s="10"/>
      <c r="N24" s="10"/>
      <c r="O24" s="10"/>
      <c r="P24" s="10"/>
      <c r="Q24" s="10"/>
      <c r="R24" s="10"/>
    </row>
  </sheetData>
  <mergeCells count="5">
    <mergeCell ref="A1:R1"/>
    <mergeCell ref="A5:A6"/>
    <mergeCell ref="B5:B6"/>
    <mergeCell ref="C5:I5"/>
    <mergeCell ref="J5:R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3"/>
  <sheetViews>
    <sheetView workbookViewId="0">
      <selection activeCell="A23" sqref="A23"/>
    </sheetView>
  </sheetViews>
  <sheetFormatPr baseColWidth="10" defaultColWidth="11.42578125" defaultRowHeight="12" x14ac:dyDescent="0.2"/>
  <cols>
    <col min="1" max="4" width="11.42578125" style="5"/>
    <col min="5" max="5" width="12" style="5" customWidth="1"/>
    <col min="6" max="16384" width="11.42578125" style="5"/>
  </cols>
  <sheetData>
    <row r="1" spans="1:15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x14ac:dyDescent="0.2">
      <c r="A2" s="2" t="s">
        <v>42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">
      <c r="A5" s="45" t="s">
        <v>1</v>
      </c>
      <c r="B5" s="47" t="s">
        <v>2</v>
      </c>
      <c r="C5" s="49" t="s">
        <v>3</v>
      </c>
      <c r="D5" s="49"/>
      <c r="E5" s="49"/>
      <c r="F5" s="49"/>
      <c r="G5" s="49"/>
      <c r="H5" s="49"/>
      <c r="I5" s="49"/>
      <c r="J5" s="47" t="s">
        <v>4</v>
      </c>
      <c r="K5" s="47"/>
      <c r="L5" s="47"/>
      <c r="M5" s="47"/>
      <c r="N5" s="47"/>
      <c r="O5" s="47"/>
    </row>
    <row r="6" spans="1:15" ht="36" x14ac:dyDescent="0.2">
      <c r="A6" s="46"/>
      <c r="B6" s="48"/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35</v>
      </c>
      <c r="J6" s="13" t="s">
        <v>11</v>
      </c>
      <c r="K6" s="12" t="s">
        <v>12</v>
      </c>
      <c r="L6" s="12" t="s">
        <v>13</v>
      </c>
      <c r="M6" s="12" t="s">
        <v>14</v>
      </c>
      <c r="N6" s="12" t="s">
        <v>16</v>
      </c>
      <c r="O6" s="12" t="s">
        <v>19</v>
      </c>
    </row>
    <row r="7" spans="1:15" ht="14.25" x14ac:dyDescent="0.2">
      <c r="A7" s="14" t="s">
        <v>52</v>
      </c>
      <c r="B7" s="33">
        <f>AVERAGE(B8:B19)</f>
        <v>349.11408333333333</v>
      </c>
      <c r="C7" s="33">
        <f t="shared" ref="C7:O7" si="0">AVERAGE(C8:C19)</f>
        <v>271.89575000000002</v>
      </c>
      <c r="D7" s="33">
        <f t="shared" si="0"/>
        <v>130.84166666666667</v>
      </c>
      <c r="E7" s="33">
        <f t="shared" si="0"/>
        <v>47.008250000000004</v>
      </c>
      <c r="F7" s="33">
        <f t="shared" si="0"/>
        <v>9.0049166666666665</v>
      </c>
      <c r="G7" s="33">
        <f t="shared" si="0"/>
        <v>10.512666666666666</v>
      </c>
      <c r="H7" s="33">
        <f t="shared" si="0"/>
        <v>4.2746666666666666</v>
      </c>
      <c r="I7" s="33">
        <f t="shared" si="0"/>
        <v>70.253583333333339</v>
      </c>
      <c r="J7" s="33">
        <f t="shared" si="0"/>
        <v>77.21833333333332</v>
      </c>
      <c r="K7" s="33">
        <f t="shared" si="0"/>
        <v>5.3687499999999995</v>
      </c>
      <c r="L7" s="33">
        <f t="shared" si="0"/>
        <v>2.578583333333333</v>
      </c>
      <c r="M7" s="33">
        <f t="shared" si="0"/>
        <v>16.751083333333337</v>
      </c>
      <c r="N7" s="33">
        <f t="shared" si="0"/>
        <v>18.942416666666663</v>
      </c>
      <c r="O7" s="33">
        <f t="shared" si="0"/>
        <v>33.577500000000008</v>
      </c>
    </row>
    <row r="8" spans="1:15" x14ac:dyDescent="0.2">
      <c r="A8" s="4" t="s">
        <v>20</v>
      </c>
      <c r="B8" s="33">
        <f>SUM(C8,J8)</f>
        <v>354.58699999999999</v>
      </c>
      <c r="C8" s="33">
        <f>SUM(D8:I8)</f>
        <v>277.51400000000001</v>
      </c>
      <c r="D8" s="34">
        <v>127.36</v>
      </c>
      <c r="E8" s="34">
        <v>43.164999999999999</v>
      </c>
      <c r="F8" s="34">
        <v>7.4740000000000002</v>
      </c>
      <c r="G8" s="34">
        <v>10.355</v>
      </c>
      <c r="H8" s="34">
        <v>5.27</v>
      </c>
      <c r="I8" s="34">
        <v>83.89</v>
      </c>
      <c r="J8" s="33">
        <f>SUM(K8:O8)</f>
        <v>77.073000000000008</v>
      </c>
      <c r="K8" s="34">
        <v>5.6189999999999998</v>
      </c>
      <c r="L8" s="34">
        <v>2.5299999999999998</v>
      </c>
      <c r="M8" s="34">
        <v>16.120999999999999</v>
      </c>
      <c r="N8" s="34">
        <v>19.198</v>
      </c>
      <c r="O8" s="34">
        <f>13.441+20.164</f>
        <v>33.605000000000004</v>
      </c>
    </row>
    <row r="9" spans="1:15" x14ac:dyDescent="0.2">
      <c r="A9" s="4" t="s">
        <v>21</v>
      </c>
      <c r="B9" s="33">
        <f t="shared" ref="B9:B18" si="1">SUM(C9,J9)</f>
        <v>381.11500000000001</v>
      </c>
      <c r="C9" s="33">
        <f t="shared" ref="C9:C18" si="2">SUM(D9:I9)</f>
        <v>305.85899999999998</v>
      </c>
      <c r="D9" s="34">
        <v>130.285</v>
      </c>
      <c r="E9" s="34">
        <v>65.097999999999999</v>
      </c>
      <c r="F9" s="34">
        <v>11.157999999999999</v>
      </c>
      <c r="G9" s="34">
        <v>13.538</v>
      </c>
      <c r="H9" s="34">
        <v>4.43</v>
      </c>
      <c r="I9" s="34">
        <v>81.349999999999994</v>
      </c>
      <c r="J9" s="33">
        <f>SUM(K9:O9)</f>
        <v>75.256</v>
      </c>
      <c r="K9" s="34">
        <v>5.3570000000000002</v>
      </c>
      <c r="L9" s="34">
        <v>2.3330000000000002</v>
      </c>
      <c r="M9" s="34">
        <v>15.295999999999999</v>
      </c>
      <c r="N9" s="34">
        <v>19.713999999999999</v>
      </c>
      <c r="O9" s="34">
        <f>13.622+18.934</f>
        <v>32.555999999999997</v>
      </c>
    </row>
    <row r="10" spans="1:15" x14ac:dyDescent="0.2">
      <c r="A10" s="4" t="s">
        <v>22</v>
      </c>
      <c r="B10" s="33">
        <f t="shared" si="1"/>
        <v>357.24700000000001</v>
      </c>
      <c r="C10" s="33">
        <f t="shared" si="2"/>
        <v>284.20600000000002</v>
      </c>
      <c r="D10" s="34">
        <v>131.167</v>
      </c>
      <c r="E10" s="34">
        <v>53.305</v>
      </c>
      <c r="F10" s="34">
        <v>11.403</v>
      </c>
      <c r="G10" s="34">
        <v>9.6129999999999995</v>
      </c>
      <c r="H10" s="34">
        <v>3.9340000000000002</v>
      </c>
      <c r="I10" s="34">
        <v>74.784000000000006</v>
      </c>
      <c r="J10" s="33">
        <f>SUM(K10:O10)</f>
        <v>73.040999999999997</v>
      </c>
      <c r="K10" s="34">
        <v>5.3310000000000004</v>
      </c>
      <c r="L10" s="34">
        <v>2.1</v>
      </c>
      <c r="M10" s="34">
        <v>15.757</v>
      </c>
      <c r="N10" s="34">
        <v>16.195</v>
      </c>
      <c r="O10" s="34">
        <f>14.268+19.39</f>
        <v>33.658000000000001</v>
      </c>
    </row>
    <row r="11" spans="1:15" x14ac:dyDescent="0.2">
      <c r="A11" s="4" t="s">
        <v>23</v>
      </c>
      <c r="B11" s="33">
        <f t="shared" si="1"/>
        <v>344.29700000000003</v>
      </c>
      <c r="C11" s="33">
        <f t="shared" si="2"/>
        <v>271.16300000000001</v>
      </c>
      <c r="D11" s="34">
        <v>130.905</v>
      </c>
      <c r="E11" s="34">
        <v>50.165999999999997</v>
      </c>
      <c r="F11" s="34">
        <v>10.385</v>
      </c>
      <c r="G11" s="34">
        <v>8.6310000000000002</v>
      </c>
      <c r="H11" s="34">
        <v>4.5940000000000003</v>
      </c>
      <c r="I11" s="34">
        <v>66.481999999999999</v>
      </c>
      <c r="J11" s="33">
        <f>SUM(K11:O11)</f>
        <v>73.134000000000015</v>
      </c>
      <c r="K11" s="34">
        <v>5.0430000000000001</v>
      </c>
      <c r="L11" s="34">
        <v>3.198</v>
      </c>
      <c r="M11" s="34">
        <v>13.695</v>
      </c>
      <c r="N11" s="34">
        <v>17.827000000000002</v>
      </c>
      <c r="O11" s="34">
        <f>14.297+19.074</f>
        <v>33.371000000000002</v>
      </c>
    </row>
    <row r="12" spans="1:15" x14ac:dyDescent="0.2">
      <c r="A12" s="4" t="s">
        <v>24</v>
      </c>
      <c r="B12" s="33">
        <f t="shared" si="1"/>
        <v>323.80200000000002</v>
      </c>
      <c r="C12" s="33">
        <f t="shared" si="2"/>
        <v>252.25299999999999</v>
      </c>
      <c r="D12" s="34">
        <v>131.506</v>
      </c>
      <c r="E12" s="34">
        <v>39.874000000000002</v>
      </c>
      <c r="F12" s="34">
        <v>8.1660000000000004</v>
      </c>
      <c r="G12" s="34">
        <v>10.114000000000001</v>
      </c>
      <c r="H12" s="34">
        <v>3.601</v>
      </c>
      <c r="I12" s="34">
        <v>58.991999999999997</v>
      </c>
      <c r="J12" s="33">
        <f t="shared" ref="J12:J18" si="3">SUM(K12:O12)</f>
        <v>71.549000000000007</v>
      </c>
      <c r="K12" s="34">
        <v>5.3010000000000002</v>
      </c>
      <c r="L12" s="34">
        <v>2.863</v>
      </c>
      <c r="M12" s="34">
        <v>14.44</v>
      </c>
      <c r="N12" s="34">
        <v>15.746</v>
      </c>
      <c r="O12" s="34">
        <f>19.052+14.147</f>
        <v>33.198999999999998</v>
      </c>
    </row>
    <row r="13" spans="1:15" x14ac:dyDescent="0.2">
      <c r="A13" s="4" t="s">
        <v>25</v>
      </c>
      <c r="B13" s="33">
        <f t="shared" si="1"/>
        <v>337.65999999999997</v>
      </c>
      <c r="C13" s="33">
        <f t="shared" si="2"/>
        <v>265.76900000000001</v>
      </c>
      <c r="D13" s="34">
        <v>131.37700000000001</v>
      </c>
      <c r="E13" s="34">
        <v>42.192</v>
      </c>
      <c r="F13" s="34">
        <v>8.6609999999999996</v>
      </c>
      <c r="G13" s="34">
        <v>12.042999999999999</v>
      </c>
      <c r="H13" s="34">
        <v>4.4279999999999999</v>
      </c>
      <c r="I13" s="34">
        <v>67.067999999999998</v>
      </c>
      <c r="J13" s="33">
        <f t="shared" si="3"/>
        <v>71.890999999999991</v>
      </c>
      <c r="K13" s="34">
        <v>5.665</v>
      </c>
      <c r="L13" s="34">
        <v>2.96</v>
      </c>
      <c r="M13" s="34">
        <v>15.553000000000001</v>
      </c>
      <c r="N13" s="34">
        <v>16.61</v>
      </c>
      <c r="O13" s="34">
        <f>17.926+13.177</f>
        <v>31.102999999999998</v>
      </c>
    </row>
    <row r="14" spans="1:15" x14ac:dyDescent="0.2">
      <c r="A14" s="4" t="s">
        <v>26</v>
      </c>
      <c r="B14" s="33">
        <f t="shared" si="1"/>
        <v>337.13400000000001</v>
      </c>
      <c r="C14" s="33">
        <f t="shared" si="2"/>
        <v>262.10199999999998</v>
      </c>
      <c r="D14" s="34">
        <v>130.43799999999999</v>
      </c>
      <c r="E14" s="34">
        <v>37.341000000000001</v>
      </c>
      <c r="F14" s="34">
        <v>5.8040000000000003</v>
      </c>
      <c r="G14" s="34">
        <v>10.654999999999999</v>
      </c>
      <c r="H14" s="34">
        <v>4.6680000000000001</v>
      </c>
      <c r="I14" s="34">
        <v>73.195999999999998</v>
      </c>
      <c r="J14" s="33">
        <f t="shared" si="3"/>
        <v>75.032000000000011</v>
      </c>
      <c r="K14" s="34">
        <v>5.7350000000000003</v>
      </c>
      <c r="L14" s="34">
        <v>3.1549999999999998</v>
      </c>
      <c r="M14" s="34">
        <v>15.675000000000001</v>
      </c>
      <c r="N14" s="34">
        <v>17.274999999999999</v>
      </c>
      <c r="O14" s="34">
        <f>19.342+13.85</f>
        <v>33.192</v>
      </c>
    </row>
    <row r="15" spans="1:15" x14ac:dyDescent="0.2">
      <c r="A15" s="4" t="s">
        <v>27</v>
      </c>
      <c r="B15" s="33">
        <f t="shared" si="1"/>
        <v>309.71799999999996</v>
      </c>
      <c r="C15" s="33">
        <f t="shared" si="2"/>
        <v>238.59399999999999</v>
      </c>
      <c r="D15" s="34">
        <v>129.70500000000001</v>
      </c>
      <c r="E15" s="34">
        <v>24.998999999999999</v>
      </c>
      <c r="F15" s="34">
        <v>4.63</v>
      </c>
      <c r="G15" s="34">
        <v>6.3029999999999999</v>
      </c>
      <c r="H15" s="34">
        <v>2.794</v>
      </c>
      <c r="I15" s="34">
        <v>70.162999999999997</v>
      </c>
      <c r="J15" s="33">
        <f t="shared" si="3"/>
        <v>71.123999999999995</v>
      </c>
      <c r="K15" s="34">
        <v>5.625</v>
      </c>
      <c r="L15" s="34">
        <v>2.4319999999999999</v>
      </c>
      <c r="M15" s="34">
        <v>12.879</v>
      </c>
      <c r="N15" s="34">
        <v>17.274999999999999</v>
      </c>
      <c r="O15" s="34">
        <f>18.739+14.174</f>
        <v>32.912999999999997</v>
      </c>
    </row>
    <row r="16" spans="1:15" x14ac:dyDescent="0.2">
      <c r="A16" s="4" t="s">
        <v>28</v>
      </c>
      <c r="B16" s="33">
        <f t="shared" si="1"/>
        <v>350.35899999999998</v>
      </c>
      <c r="C16" s="33">
        <f t="shared" si="2"/>
        <v>269.12299999999999</v>
      </c>
      <c r="D16" s="34">
        <v>129.38300000000001</v>
      </c>
      <c r="E16" s="34">
        <v>51.436999999999998</v>
      </c>
      <c r="F16" s="34">
        <v>7.9859999999999998</v>
      </c>
      <c r="G16" s="34">
        <v>9.6959999999999997</v>
      </c>
      <c r="H16" s="34">
        <v>2.7719999999999998</v>
      </c>
      <c r="I16" s="34">
        <v>67.849000000000004</v>
      </c>
      <c r="J16" s="33">
        <f t="shared" si="3"/>
        <v>81.23599999999999</v>
      </c>
      <c r="K16" s="34">
        <v>5.39</v>
      </c>
      <c r="L16" s="34">
        <v>1.95</v>
      </c>
      <c r="M16" s="34">
        <v>20.021000000000001</v>
      </c>
      <c r="N16" s="34">
        <v>21.933</v>
      </c>
      <c r="O16" s="34">
        <f>18.614+13.328</f>
        <v>31.942</v>
      </c>
    </row>
    <row r="17" spans="1:15" x14ac:dyDescent="0.2">
      <c r="A17" s="4" t="s">
        <v>29</v>
      </c>
      <c r="B17" s="33">
        <f t="shared" si="1"/>
        <v>339.00700000000001</v>
      </c>
      <c r="C17" s="33">
        <f t="shared" si="2"/>
        <v>253.99200000000002</v>
      </c>
      <c r="D17" s="34">
        <v>129.17099999999999</v>
      </c>
      <c r="E17" s="34">
        <v>35.256999999999998</v>
      </c>
      <c r="F17" s="34">
        <v>6.375</v>
      </c>
      <c r="G17" s="34">
        <v>9.2789999999999999</v>
      </c>
      <c r="H17" s="34">
        <v>4.6740000000000004</v>
      </c>
      <c r="I17" s="34">
        <v>69.236000000000004</v>
      </c>
      <c r="J17" s="33">
        <f t="shared" si="3"/>
        <v>85.015000000000001</v>
      </c>
      <c r="K17" s="34">
        <v>5.2149999999999999</v>
      </c>
      <c r="L17" s="34">
        <v>1.9590000000000001</v>
      </c>
      <c r="M17" s="34">
        <v>22.751999999999999</v>
      </c>
      <c r="N17" s="34">
        <v>23.91</v>
      </c>
      <c r="O17" s="34">
        <f>18.148+13.031</f>
        <v>31.179000000000002</v>
      </c>
    </row>
    <row r="18" spans="1:15" x14ac:dyDescent="0.2">
      <c r="A18" s="4" t="s">
        <v>30</v>
      </c>
      <c r="B18" s="33">
        <f t="shared" si="1"/>
        <v>368.19200000000001</v>
      </c>
      <c r="C18" s="33">
        <f t="shared" si="2"/>
        <v>289.50200000000001</v>
      </c>
      <c r="D18" s="34">
        <v>130.72300000000001</v>
      </c>
      <c r="E18" s="34">
        <v>61.244999999999997</v>
      </c>
      <c r="F18" s="34">
        <v>12.087999999999999</v>
      </c>
      <c r="G18" s="34">
        <v>12.163</v>
      </c>
      <c r="H18" s="34">
        <v>5</v>
      </c>
      <c r="I18" s="34">
        <v>68.283000000000001</v>
      </c>
      <c r="J18" s="33">
        <f t="shared" si="3"/>
        <v>78.69</v>
      </c>
      <c r="K18" s="34">
        <v>5.383</v>
      </c>
      <c r="L18" s="34">
        <v>2.5129999999999999</v>
      </c>
      <c r="M18" s="34">
        <v>18.713999999999999</v>
      </c>
      <c r="N18" s="34">
        <v>19.254000000000001</v>
      </c>
      <c r="O18" s="34">
        <f>19.903+12.923</f>
        <v>32.826000000000001</v>
      </c>
    </row>
    <row r="19" spans="1:15" x14ac:dyDescent="0.2">
      <c r="A19" s="32" t="s">
        <v>31</v>
      </c>
      <c r="B19" s="35">
        <f>SUM(C19,J19)</f>
        <v>386.25100000000003</v>
      </c>
      <c r="C19" s="35">
        <f>SUM(D19:I19)</f>
        <v>292.67200000000003</v>
      </c>
      <c r="D19" s="36">
        <v>138.08000000000001</v>
      </c>
      <c r="E19" s="36">
        <v>60.02</v>
      </c>
      <c r="F19" s="36">
        <v>13.929</v>
      </c>
      <c r="G19" s="36">
        <v>13.762</v>
      </c>
      <c r="H19" s="36">
        <v>5.1310000000000002</v>
      </c>
      <c r="I19" s="36">
        <v>61.75</v>
      </c>
      <c r="J19" s="35">
        <f>SUM(K19:O19)</f>
        <v>93.578999999999994</v>
      </c>
      <c r="K19" s="36">
        <v>4.7610000000000001</v>
      </c>
      <c r="L19" s="36">
        <v>2.95</v>
      </c>
      <c r="M19" s="36">
        <v>20.11</v>
      </c>
      <c r="N19" s="36">
        <v>22.372</v>
      </c>
      <c r="O19" s="36">
        <f>15.399+27.987</f>
        <v>43.385999999999996</v>
      </c>
    </row>
    <row r="20" spans="1:15" x14ac:dyDescent="0.2">
      <c r="A20" s="10" t="s">
        <v>55</v>
      </c>
      <c r="B20" s="15"/>
      <c r="C20" s="15"/>
      <c r="D20" s="7"/>
      <c r="E20" s="7"/>
      <c r="F20" s="7"/>
      <c r="G20" s="7"/>
      <c r="H20" s="7"/>
      <c r="I20" s="7"/>
      <c r="J20" s="15"/>
      <c r="K20" s="7"/>
      <c r="L20" s="7"/>
      <c r="M20" s="7"/>
      <c r="N20" s="7"/>
      <c r="O20" s="7"/>
    </row>
    <row r="21" spans="1:15" ht="11.25" customHeight="1" x14ac:dyDescent="0.2">
      <c r="A21" s="10" t="s">
        <v>48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ht="11.25" customHeight="1" x14ac:dyDescent="0.2">
      <c r="A22" s="10" t="s">
        <v>56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ht="11.25" customHeight="1" x14ac:dyDescent="0.2">
      <c r="A23" s="9" t="s">
        <v>60</v>
      </c>
      <c r="B23" s="9"/>
      <c r="C23" s="9"/>
      <c r="D23" s="9"/>
      <c r="E23" s="9"/>
      <c r="F23" s="9"/>
      <c r="G23" s="9"/>
      <c r="H23" s="9"/>
      <c r="I23" s="9"/>
      <c r="J23" s="9"/>
      <c r="K23" s="28"/>
      <c r="L23" s="28"/>
      <c r="M23" s="28"/>
      <c r="N23" s="28"/>
      <c r="O23" s="28"/>
    </row>
  </sheetData>
  <mergeCells count="5">
    <mergeCell ref="A1:O1"/>
    <mergeCell ref="A5:A6"/>
    <mergeCell ref="B5:B6"/>
    <mergeCell ref="C5:I5"/>
    <mergeCell ref="J5:O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3"/>
  <sheetViews>
    <sheetView workbookViewId="0">
      <selection activeCell="G31" sqref="G31"/>
    </sheetView>
  </sheetViews>
  <sheetFormatPr baseColWidth="10" defaultColWidth="11.42578125" defaultRowHeight="12" x14ac:dyDescent="0.2"/>
  <cols>
    <col min="1" max="4" width="11.42578125" style="5"/>
    <col min="5" max="5" width="12.7109375" style="5" customWidth="1"/>
    <col min="6" max="16384" width="11.42578125" style="5"/>
  </cols>
  <sheetData>
    <row r="1" spans="1:15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x14ac:dyDescent="0.2">
      <c r="A2" s="2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">
      <c r="A5" s="45" t="s">
        <v>1</v>
      </c>
      <c r="B5" s="47" t="s">
        <v>2</v>
      </c>
      <c r="C5" s="49" t="s">
        <v>3</v>
      </c>
      <c r="D5" s="49"/>
      <c r="E5" s="49"/>
      <c r="F5" s="49"/>
      <c r="G5" s="49"/>
      <c r="H5" s="49"/>
      <c r="I5" s="49"/>
      <c r="J5" s="47" t="s">
        <v>4</v>
      </c>
      <c r="K5" s="47"/>
      <c r="L5" s="47"/>
      <c r="M5" s="47"/>
      <c r="N5" s="47"/>
      <c r="O5" s="47"/>
    </row>
    <row r="6" spans="1:15" ht="36" x14ac:dyDescent="0.2">
      <c r="A6" s="46"/>
      <c r="B6" s="48"/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35</v>
      </c>
      <c r="J6" s="13" t="s">
        <v>11</v>
      </c>
      <c r="K6" s="12" t="s">
        <v>12</v>
      </c>
      <c r="L6" s="12" t="s">
        <v>13</v>
      </c>
      <c r="M6" s="12" t="s">
        <v>14</v>
      </c>
      <c r="N6" s="12" t="s">
        <v>16</v>
      </c>
      <c r="O6" s="12" t="s">
        <v>19</v>
      </c>
    </row>
    <row r="7" spans="1:15" ht="14.25" x14ac:dyDescent="0.2">
      <c r="A7" s="14" t="s">
        <v>52</v>
      </c>
      <c r="B7" s="33">
        <f t="shared" ref="B7:O7" si="0">AVERAGE(B8:B19)</f>
        <v>399.20558333333332</v>
      </c>
      <c r="C7" s="33">
        <f t="shared" si="0"/>
        <v>311.00700000000001</v>
      </c>
      <c r="D7" s="33">
        <f t="shared" si="0"/>
        <v>140.97683333333336</v>
      </c>
      <c r="E7" s="33">
        <f t="shared" si="0"/>
        <v>59.914833333333341</v>
      </c>
      <c r="F7" s="33">
        <f t="shared" si="0"/>
        <v>19.777000000000001</v>
      </c>
      <c r="G7" s="33">
        <f t="shared" si="0"/>
        <v>12.316833333333333</v>
      </c>
      <c r="H7" s="33">
        <f t="shared" si="0"/>
        <v>3.5132499999999993</v>
      </c>
      <c r="I7" s="33">
        <f t="shared" si="0"/>
        <v>74.508250000000004</v>
      </c>
      <c r="J7" s="33">
        <f t="shared" si="0"/>
        <v>88.198583333333332</v>
      </c>
      <c r="K7" s="33">
        <f t="shared" si="0"/>
        <v>5.0497499999999995</v>
      </c>
      <c r="L7" s="33">
        <f t="shared" si="0"/>
        <v>3.5494166666666671</v>
      </c>
      <c r="M7" s="33">
        <f t="shared" si="0"/>
        <v>19.940666666666669</v>
      </c>
      <c r="N7" s="33">
        <f t="shared" si="0"/>
        <v>23.209083333333336</v>
      </c>
      <c r="O7" s="33">
        <f t="shared" si="0"/>
        <v>36.449666666666673</v>
      </c>
    </row>
    <row r="8" spans="1:15" x14ac:dyDescent="0.2">
      <c r="A8" s="4" t="s">
        <v>20</v>
      </c>
      <c r="B8" s="33">
        <f>SUM(C8,J8)</f>
        <v>370.447</v>
      </c>
      <c r="C8" s="33">
        <f>SUM(D8:I8)</f>
        <v>283.99</v>
      </c>
      <c r="D8" s="34">
        <v>136.83000000000001</v>
      </c>
      <c r="E8" s="34">
        <v>58.92</v>
      </c>
      <c r="F8" s="34">
        <v>13.18</v>
      </c>
      <c r="G8" s="34">
        <v>14.29</v>
      </c>
      <c r="H8" s="34">
        <v>5.03</v>
      </c>
      <c r="I8" s="34">
        <v>55.74</v>
      </c>
      <c r="J8" s="33">
        <f>SUM(K8:O8)</f>
        <v>86.456999999999994</v>
      </c>
      <c r="K8" s="34">
        <v>4.42</v>
      </c>
      <c r="L8" s="34">
        <v>2.71</v>
      </c>
      <c r="M8" s="34">
        <v>18.02</v>
      </c>
      <c r="N8" s="34">
        <v>21.66</v>
      </c>
      <c r="O8" s="34">
        <f>24.067+15.58</f>
        <v>39.646999999999998</v>
      </c>
    </row>
    <row r="9" spans="1:15" x14ac:dyDescent="0.2">
      <c r="A9" s="4" t="s">
        <v>21</v>
      </c>
      <c r="B9" s="33">
        <f t="shared" ref="B9:B18" si="1">SUM(C9,J9)</f>
        <v>380.24699999999996</v>
      </c>
      <c r="C9" s="33">
        <f t="shared" ref="C9:C18" si="2">SUM(D9:I9)</f>
        <v>287.89999999999998</v>
      </c>
      <c r="D9" s="34">
        <v>132.36000000000001</v>
      </c>
      <c r="E9" s="34">
        <v>53.44</v>
      </c>
      <c r="F9" s="34">
        <v>12.45</v>
      </c>
      <c r="G9" s="34">
        <v>9.5299999999999994</v>
      </c>
      <c r="H9" s="34">
        <v>4.45</v>
      </c>
      <c r="I9" s="34">
        <v>75.67</v>
      </c>
      <c r="J9" s="33">
        <f>SUM(K9:O9)</f>
        <v>92.347000000000008</v>
      </c>
      <c r="K9" s="34">
        <v>4.76</v>
      </c>
      <c r="L9" s="34">
        <v>3.68</v>
      </c>
      <c r="M9" s="34">
        <v>17.21</v>
      </c>
      <c r="N9" s="34">
        <v>25.1</v>
      </c>
      <c r="O9" s="34">
        <f>25.367+16.23</f>
        <v>41.597000000000001</v>
      </c>
    </row>
    <row r="10" spans="1:15" x14ac:dyDescent="0.2">
      <c r="A10" s="4" t="s">
        <v>22</v>
      </c>
      <c r="B10" s="33">
        <f t="shared" si="1"/>
        <v>392.83400000000006</v>
      </c>
      <c r="C10" s="33">
        <f t="shared" si="2"/>
        <v>297.58000000000004</v>
      </c>
      <c r="D10" s="34">
        <v>132.69</v>
      </c>
      <c r="E10" s="34">
        <v>54.49</v>
      </c>
      <c r="F10" s="34">
        <v>20.420000000000002</v>
      </c>
      <c r="G10" s="34">
        <v>10.37</v>
      </c>
      <c r="H10" s="34">
        <v>4.0599999999999996</v>
      </c>
      <c r="I10" s="34">
        <v>75.55</v>
      </c>
      <c r="J10" s="33">
        <f>SUM(K10:O10)</f>
        <v>95.253999999999991</v>
      </c>
      <c r="K10" s="34">
        <v>4.41</v>
      </c>
      <c r="L10" s="34">
        <v>3.49</v>
      </c>
      <c r="M10" s="34">
        <v>20.74</v>
      </c>
      <c r="N10" s="34">
        <v>24.96</v>
      </c>
      <c r="O10" s="34">
        <f>25.104+16.55</f>
        <v>41.653999999999996</v>
      </c>
    </row>
    <row r="11" spans="1:15" x14ac:dyDescent="0.2">
      <c r="A11" s="4" t="s">
        <v>23</v>
      </c>
      <c r="B11" s="33">
        <f t="shared" si="1"/>
        <v>389.1</v>
      </c>
      <c r="C11" s="33">
        <f t="shared" si="2"/>
        <v>297.62</v>
      </c>
      <c r="D11" s="34">
        <v>130.58000000000001</v>
      </c>
      <c r="E11" s="34">
        <v>52.5</v>
      </c>
      <c r="F11" s="34">
        <v>21.84</v>
      </c>
      <c r="G11" s="34">
        <v>11.43</v>
      </c>
      <c r="H11" s="34">
        <v>4.4000000000000004</v>
      </c>
      <c r="I11" s="34">
        <v>76.87</v>
      </c>
      <c r="J11" s="33">
        <f>SUM(K11:O11)</f>
        <v>91.48</v>
      </c>
      <c r="K11" s="34">
        <v>4.49</v>
      </c>
      <c r="L11" s="34">
        <v>3.62</v>
      </c>
      <c r="M11" s="34">
        <v>20.07</v>
      </c>
      <c r="N11" s="34">
        <v>24.54</v>
      </c>
      <c r="O11" s="34">
        <f>22.76+16</f>
        <v>38.760000000000005</v>
      </c>
    </row>
    <row r="12" spans="1:15" x14ac:dyDescent="0.2">
      <c r="A12" s="4" t="s">
        <v>24</v>
      </c>
      <c r="B12" s="33">
        <f t="shared" si="1"/>
        <v>401.666</v>
      </c>
      <c r="C12" s="33">
        <f t="shared" si="2"/>
        <v>311.80599999999998</v>
      </c>
      <c r="D12" s="34">
        <v>137.30600000000001</v>
      </c>
      <c r="E12" s="34">
        <v>60.75</v>
      </c>
      <c r="F12" s="34">
        <v>22.73</v>
      </c>
      <c r="G12" s="34">
        <v>13.13</v>
      </c>
      <c r="H12" s="34">
        <v>2.65</v>
      </c>
      <c r="I12" s="34">
        <v>75.239999999999995</v>
      </c>
      <c r="J12" s="33">
        <f t="shared" ref="J12:J18" si="3">SUM(K12:O12)</f>
        <v>89.86</v>
      </c>
      <c r="K12" s="34">
        <v>5.04</v>
      </c>
      <c r="L12" s="34">
        <v>4.0999999999999996</v>
      </c>
      <c r="M12" s="34">
        <v>19.8</v>
      </c>
      <c r="N12" s="34">
        <v>21.2</v>
      </c>
      <c r="O12" s="34">
        <f>23.22+16.5</f>
        <v>39.72</v>
      </c>
    </row>
    <row r="13" spans="1:15" x14ac:dyDescent="0.2">
      <c r="A13" s="4" t="s">
        <v>25</v>
      </c>
      <c r="B13" s="33">
        <f t="shared" si="1"/>
        <v>409.06700000000001</v>
      </c>
      <c r="C13" s="33">
        <f t="shared" si="2"/>
        <v>319.54500000000002</v>
      </c>
      <c r="D13" s="34">
        <v>145.88</v>
      </c>
      <c r="E13" s="34">
        <v>60.087000000000003</v>
      </c>
      <c r="F13" s="34">
        <v>21.094999999999999</v>
      </c>
      <c r="G13" s="34">
        <v>12.592000000000001</v>
      </c>
      <c r="H13" s="34">
        <v>4.1040000000000001</v>
      </c>
      <c r="I13" s="34">
        <v>75.787000000000006</v>
      </c>
      <c r="J13" s="33">
        <f t="shared" si="3"/>
        <v>89.521999999999991</v>
      </c>
      <c r="K13" s="34">
        <v>6.1139999999999999</v>
      </c>
      <c r="L13" s="34">
        <v>3.339</v>
      </c>
      <c r="M13" s="34">
        <v>22.596</v>
      </c>
      <c r="N13" s="34">
        <v>19.399000000000001</v>
      </c>
      <c r="O13" s="34">
        <f>22.291+15.783</f>
        <v>38.073999999999998</v>
      </c>
    </row>
    <row r="14" spans="1:15" x14ac:dyDescent="0.2">
      <c r="A14" s="4" t="s">
        <v>26</v>
      </c>
      <c r="B14" s="33">
        <f t="shared" si="1"/>
        <v>411.52099999999996</v>
      </c>
      <c r="C14" s="33">
        <f t="shared" si="2"/>
        <v>323.488</v>
      </c>
      <c r="D14" s="34">
        <v>145.83099999999999</v>
      </c>
      <c r="E14" s="34">
        <v>63.761000000000003</v>
      </c>
      <c r="F14" s="34">
        <v>21.699000000000002</v>
      </c>
      <c r="G14" s="34">
        <v>13.44</v>
      </c>
      <c r="H14" s="34">
        <v>2.7549999999999999</v>
      </c>
      <c r="I14" s="34">
        <v>76.001999999999995</v>
      </c>
      <c r="J14" s="33">
        <f t="shared" si="3"/>
        <v>88.032999999999987</v>
      </c>
      <c r="K14" s="34">
        <v>5.0030000000000001</v>
      </c>
      <c r="L14" s="34">
        <v>3.5739999999999998</v>
      </c>
      <c r="M14" s="34">
        <v>20.402000000000001</v>
      </c>
      <c r="N14" s="34">
        <v>24.43</v>
      </c>
      <c r="O14" s="34">
        <f>19.173+15.451</f>
        <v>34.623999999999995</v>
      </c>
    </row>
    <row r="15" spans="1:15" x14ac:dyDescent="0.2">
      <c r="A15" s="4" t="s">
        <v>27</v>
      </c>
      <c r="B15" s="33">
        <f t="shared" si="1"/>
        <v>403.20000000000005</v>
      </c>
      <c r="C15" s="33">
        <f t="shared" si="2"/>
        <v>315.23</v>
      </c>
      <c r="D15" s="34">
        <v>142.99</v>
      </c>
      <c r="E15" s="34">
        <v>60.64</v>
      </c>
      <c r="F15" s="34">
        <v>21.17</v>
      </c>
      <c r="G15" s="34">
        <v>12.5</v>
      </c>
      <c r="H15" s="34">
        <v>2.2799999999999998</v>
      </c>
      <c r="I15" s="34">
        <v>75.650000000000006</v>
      </c>
      <c r="J15" s="33">
        <f t="shared" si="3"/>
        <v>87.97</v>
      </c>
      <c r="K15" s="34">
        <v>4.96</v>
      </c>
      <c r="L15" s="34">
        <v>3.3</v>
      </c>
      <c r="M15" s="34">
        <v>20.02</v>
      </c>
      <c r="N15" s="34">
        <v>22.72</v>
      </c>
      <c r="O15" s="34">
        <f>22.23+14.74</f>
        <v>36.97</v>
      </c>
    </row>
    <row r="16" spans="1:15" x14ac:dyDescent="0.2">
      <c r="A16" s="4" t="s">
        <v>28</v>
      </c>
      <c r="B16" s="33">
        <f t="shared" si="1"/>
        <v>413.57500000000005</v>
      </c>
      <c r="C16" s="33">
        <f t="shared" si="2"/>
        <v>319.66500000000002</v>
      </c>
      <c r="D16" s="34">
        <v>140.23500000000001</v>
      </c>
      <c r="E16" s="34">
        <v>65.77</v>
      </c>
      <c r="F16" s="34">
        <v>21.77</v>
      </c>
      <c r="G16" s="34">
        <v>12.83</v>
      </c>
      <c r="H16" s="34">
        <v>2.91</v>
      </c>
      <c r="I16" s="34">
        <v>76.150000000000006</v>
      </c>
      <c r="J16" s="33">
        <f t="shared" si="3"/>
        <v>93.91</v>
      </c>
      <c r="K16" s="34">
        <v>5.21</v>
      </c>
      <c r="L16" s="34">
        <v>4.76</v>
      </c>
      <c r="M16" s="34">
        <v>19.989999999999998</v>
      </c>
      <c r="N16" s="34">
        <v>22.47</v>
      </c>
      <c r="O16" s="34">
        <f>25.72+15.76</f>
        <v>41.48</v>
      </c>
    </row>
    <row r="17" spans="1:15" x14ac:dyDescent="0.2">
      <c r="A17" s="4" t="s">
        <v>29</v>
      </c>
      <c r="B17" s="33">
        <f t="shared" si="1"/>
        <v>415.97</v>
      </c>
      <c r="C17" s="33">
        <f t="shared" si="2"/>
        <v>329.18</v>
      </c>
      <c r="D17" s="34">
        <v>152.93</v>
      </c>
      <c r="E17" s="34">
        <v>65.75</v>
      </c>
      <c r="F17" s="34">
        <v>20.46</v>
      </c>
      <c r="G17" s="34">
        <v>11.57</v>
      </c>
      <c r="H17" s="34">
        <v>2.71</v>
      </c>
      <c r="I17" s="34">
        <v>75.760000000000005</v>
      </c>
      <c r="J17" s="33">
        <f t="shared" si="3"/>
        <v>86.79</v>
      </c>
      <c r="K17" s="34">
        <v>4.91</v>
      </c>
      <c r="L17" s="34">
        <v>2.92</v>
      </c>
      <c r="M17" s="34">
        <v>19.8</v>
      </c>
      <c r="N17" s="34">
        <v>21.68</v>
      </c>
      <c r="O17" s="34">
        <f>21.76+15.72</f>
        <v>37.480000000000004</v>
      </c>
    </row>
    <row r="18" spans="1:15" x14ac:dyDescent="0.2">
      <c r="A18" s="4" t="s">
        <v>30</v>
      </c>
      <c r="B18" s="33">
        <f t="shared" si="1"/>
        <v>403.81</v>
      </c>
      <c r="C18" s="33">
        <f t="shared" si="2"/>
        <v>325.56</v>
      </c>
      <c r="D18" s="34">
        <v>151.55000000000001</v>
      </c>
      <c r="E18" s="34">
        <v>61.76</v>
      </c>
      <c r="F18" s="34">
        <v>20.329999999999998</v>
      </c>
      <c r="G18" s="34">
        <v>12.84</v>
      </c>
      <c r="H18" s="34">
        <v>2.87</v>
      </c>
      <c r="I18" s="34">
        <v>76.209999999999994</v>
      </c>
      <c r="J18" s="33">
        <f t="shared" si="3"/>
        <v>78.25</v>
      </c>
      <c r="K18" s="34">
        <v>5.62</v>
      </c>
      <c r="L18" s="34">
        <v>3.42</v>
      </c>
      <c r="M18" s="34">
        <v>21.35</v>
      </c>
      <c r="N18" s="34">
        <v>24.78</v>
      </c>
      <c r="O18" s="34">
        <v>23.08</v>
      </c>
    </row>
    <row r="19" spans="1:15" x14ac:dyDescent="0.2">
      <c r="A19" s="32" t="s">
        <v>31</v>
      </c>
      <c r="B19" s="35">
        <f>SUM(C19,J19)</f>
        <v>399.03</v>
      </c>
      <c r="C19" s="35">
        <f>SUM(D19:I19)</f>
        <v>320.52</v>
      </c>
      <c r="D19" s="36">
        <v>142.54</v>
      </c>
      <c r="E19" s="36">
        <v>61.11</v>
      </c>
      <c r="F19" s="36">
        <v>20.18</v>
      </c>
      <c r="G19" s="36">
        <v>13.28</v>
      </c>
      <c r="H19" s="36">
        <v>3.94</v>
      </c>
      <c r="I19" s="36">
        <v>79.47</v>
      </c>
      <c r="J19" s="35">
        <f>SUM(K19:O19)</f>
        <v>78.510000000000005</v>
      </c>
      <c r="K19" s="36">
        <v>5.66</v>
      </c>
      <c r="L19" s="36">
        <v>3.68</v>
      </c>
      <c r="M19" s="36">
        <v>19.29</v>
      </c>
      <c r="N19" s="36">
        <v>25.57</v>
      </c>
      <c r="O19" s="36">
        <v>24.31</v>
      </c>
    </row>
    <row r="20" spans="1:15" x14ac:dyDescent="0.2">
      <c r="A20" s="10" t="s">
        <v>55</v>
      </c>
      <c r="B20" s="15"/>
      <c r="C20" s="15"/>
      <c r="D20" s="7"/>
      <c r="E20" s="7"/>
      <c r="F20" s="7"/>
      <c r="G20" s="7"/>
      <c r="H20" s="7"/>
      <c r="I20" s="7"/>
      <c r="J20" s="15"/>
      <c r="K20" s="7"/>
      <c r="L20" s="7"/>
      <c r="M20" s="7"/>
      <c r="N20" s="7"/>
      <c r="O20" s="7"/>
    </row>
    <row r="21" spans="1:15" x14ac:dyDescent="0.2">
      <c r="A21" s="10" t="s">
        <v>47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x14ac:dyDescent="0.2">
      <c r="A22" s="10" t="s">
        <v>61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12" customHeight="1" x14ac:dyDescent="0.2">
      <c r="A23" s="9" t="s">
        <v>60</v>
      </c>
      <c r="B23" s="8"/>
      <c r="C23" s="8"/>
      <c r="D23" s="8"/>
      <c r="E23" s="8"/>
      <c r="F23" s="8"/>
      <c r="G23" s="8"/>
      <c r="H23" s="8"/>
      <c r="I23" s="8"/>
      <c r="J23" s="8"/>
      <c r="K23" s="27"/>
      <c r="L23" s="27"/>
      <c r="M23" s="27"/>
      <c r="N23" s="27"/>
      <c r="O23" s="27"/>
    </row>
  </sheetData>
  <mergeCells count="5">
    <mergeCell ref="A1:O1"/>
    <mergeCell ref="A5:A6"/>
    <mergeCell ref="B5:B6"/>
    <mergeCell ref="C5:I5"/>
    <mergeCell ref="J5:O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3"/>
  <sheetViews>
    <sheetView workbookViewId="0">
      <selection activeCell="G28" sqref="G28"/>
    </sheetView>
  </sheetViews>
  <sheetFormatPr baseColWidth="10" defaultColWidth="11.42578125" defaultRowHeight="12" x14ac:dyDescent="0.2"/>
  <cols>
    <col min="1" max="4" width="11.42578125" style="5"/>
    <col min="5" max="5" width="12.28515625" style="5" customWidth="1"/>
    <col min="6" max="16384" width="11.42578125" style="5"/>
  </cols>
  <sheetData>
    <row r="1" spans="1:15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x14ac:dyDescent="0.2">
      <c r="A2" s="2" t="s">
        <v>40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">
      <c r="A5" s="45" t="s">
        <v>1</v>
      </c>
      <c r="B5" s="47" t="s">
        <v>2</v>
      </c>
      <c r="C5" s="49" t="s">
        <v>3</v>
      </c>
      <c r="D5" s="49"/>
      <c r="E5" s="49"/>
      <c r="F5" s="49"/>
      <c r="G5" s="49"/>
      <c r="H5" s="49"/>
      <c r="I5" s="49"/>
      <c r="J5" s="47" t="s">
        <v>4</v>
      </c>
      <c r="K5" s="47"/>
      <c r="L5" s="47"/>
      <c r="M5" s="47"/>
      <c r="N5" s="47"/>
      <c r="O5" s="47"/>
    </row>
    <row r="6" spans="1:15" ht="36" x14ac:dyDescent="0.2">
      <c r="A6" s="46"/>
      <c r="B6" s="48"/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35</v>
      </c>
      <c r="J6" s="13" t="s">
        <v>11</v>
      </c>
      <c r="K6" s="12" t="s">
        <v>12</v>
      </c>
      <c r="L6" s="12" t="s">
        <v>13</v>
      </c>
      <c r="M6" s="12" t="s">
        <v>14</v>
      </c>
      <c r="N6" s="12" t="s">
        <v>16</v>
      </c>
      <c r="O6" s="12" t="s">
        <v>19</v>
      </c>
    </row>
    <row r="7" spans="1:15" ht="14.25" x14ac:dyDescent="0.2">
      <c r="A7" s="14" t="s">
        <v>52</v>
      </c>
      <c r="B7" s="33">
        <f t="shared" ref="B7:O7" si="0">AVERAGE(B8:B19)</f>
        <v>411.67433333333332</v>
      </c>
      <c r="C7" s="33">
        <f t="shared" si="0"/>
        <v>305.77383333333336</v>
      </c>
      <c r="D7" s="33">
        <f t="shared" si="0"/>
        <v>145.81233333333336</v>
      </c>
      <c r="E7" s="33">
        <f t="shared" si="0"/>
        <v>54.354250000000008</v>
      </c>
      <c r="F7" s="33">
        <f t="shared" si="0"/>
        <v>18.750749999999996</v>
      </c>
      <c r="G7" s="33">
        <f t="shared" si="0"/>
        <v>12.025333333333336</v>
      </c>
      <c r="H7" s="33">
        <f t="shared" si="0"/>
        <v>4.5752500000000005</v>
      </c>
      <c r="I7" s="33">
        <f t="shared" si="0"/>
        <v>70.255916666666664</v>
      </c>
      <c r="J7" s="33">
        <f t="shared" si="0"/>
        <v>105.90050000000001</v>
      </c>
      <c r="K7" s="33">
        <f t="shared" si="0"/>
        <v>5.7606666666666682</v>
      </c>
      <c r="L7" s="33">
        <f t="shared" si="0"/>
        <v>3.1857500000000001</v>
      </c>
      <c r="M7" s="33">
        <f t="shared" si="0"/>
        <v>29.522750000000002</v>
      </c>
      <c r="N7" s="33">
        <f t="shared" si="0"/>
        <v>25.71683333333333</v>
      </c>
      <c r="O7" s="33">
        <f t="shared" si="0"/>
        <v>41.714499999999994</v>
      </c>
    </row>
    <row r="8" spans="1:15" x14ac:dyDescent="0.2">
      <c r="A8" s="4" t="s">
        <v>20</v>
      </c>
      <c r="B8" s="33">
        <f>SUM(C8,J8)</f>
        <v>420.33000000000004</v>
      </c>
      <c r="C8" s="33">
        <f>SUM(D8:I8)</f>
        <v>320.35000000000002</v>
      </c>
      <c r="D8" s="34">
        <v>147.69</v>
      </c>
      <c r="E8" s="34">
        <v>61.82</v>
      </c>
      <c r="F8" s="34">
        <v>20.92</v>
      </c>
      <c r="G8" s="34">
        <v>13.44</v>
      </c>
      <c r="H8" s="34">
        <v>5.45</v>
      </c>
      <c r="I8" s="34">
        <v>71.03</v>
      </c>
      <c r="J8" s="33">
        <f>SUM(K8:O8)</f>
        <v>99.97999999999999</v>
      </c>
      <c r="K8" s="34">
        <v>5.72</v>
      </c>
      <c r="L8" s="34">
        <v>3.51</v>
      </c>
      <c r="M8" s="34">
        <v>21.38</v>
      </c>
      <c r="N8" s="34">
        <v>28.21</v>
      </c>
      <c r="O8" s="34">
        <f>16.43+24.73</f>
        <v>41.16</v>
      </c>
    </row>
    <row r="9" spans="1:15" x14ac:dyDescent="0.2">
      <c r="A9" s="4" t="s">
        <v>21</v>
      </c>
      <c r="B9" s="33">
        <f t="shared" ref="B9:B18" si="1">SUM(C9,J9)</f>
        <v>413.51</v>
      </c>
      <c r="C9" s="33">
        <f t="shared" ref="C9:C18" si="2">SUM(D9:I9)</f>
        <v>318.10000000000002</v>
      </c>
      <c r="D9" s="34">
        <v>148.97</v>
      </c>
      <c r="E9" s="34">
        <v>56.52</v>
      </c>
      <c r="F9" s="34">
        <v>22.04</v>
      </c>
      <c r="G9" s="34">
        <v>12.96</v>
      </c>
      <c r="H9" s="34">
        <v>5.52</v>
      </c>
      <c r="I9" s="34">
        <v>72.09</v>
      </c>
      <c r="J9" s="33">
        <f>SUM(K9:O9)</f>
        <v>95.41</v>
      </c>
      <c r="K9" s="34">
        <v>6.28</v>
      </c>
      <c r="L9" s="34">
        <v>2.83</v>
      </c>
      <c r="M9" s="34">
        <v>21.38</v>
      </c>
      <c r="N9" s="34">
        <v>25.15</v>
      </c>
      <c r="O9" s="34">
        <f>14.56+25.21</f>
        <v>39.770000000000003</v>
      </c>
    </row>
    <row r="10" spans="1:15" x14ac:dyDescent="0.2">
      <c r="A10" s="4" t="s">
        <v>22</v>
      </c>
      <c r="B10" s="33">
        <f t="shared" si="1"/>
        <v>417.12</v>
      </c>
      <c r="C10" s="33">
        <f t="shared" si="2"/>
        <v>309.09000000000003</v>
      </c>
      <c r="D10" s="34">
        <v>149.59</v>
      </c>
      <c r="E10" s="34">
        <v>51.91</v>
      </c>
      <c r="F10" s="34">
        <v>19.75</v>
      </c>
      <c r="G10" s="34">
        <v>12.72</v>
      </c>
      <c r="H10" s="34">
        <v>5.25</v>
      </c>
      <c r="I10" s="34">
        <v>69.87</v>
      </c>
      <c r="J10" s="33">
        <f>SUM(K10:O10)</f>
        <v>108.03</v>
      </c>
      <c r="K10" s="34">
        <v>6.49</v>
      </c>
      <c r="L10" s="34">
        <v>3.25</v>
      </c>
      <c r="M10" s="34">
        <v>26.21</v>
      </c>
      <c r="N10" s="34">
        <v>29.43</v>
      </c>
      <c r="O10" s="34">
        <f>17.77+24.88</f>
        <v>42.65</v>
      </c>
    </row>
    <row r="11" spans="1:15" x14ac:dyDescent="0.2">
      <c r="A11" s="4" t="s">
        <v>23</v>
      </c>
      <c r="B11" s="33">
        <f t="shared" si="1"/>
        <v>410.28999999999996</v>
      </c>
      <c r="C11" s="33">
        <f t="shared" si="2"/>
        <v>300.35999999999996</v>
      </c>
      <c r="D11" s="34">
        <v>148.6</v>
      </c>
      <c r="E11" s="34">
        <v>52.66</v>
      </c>
      <c r="F11" s="34">
        <v>13.73</v>
      </c>
      <c r="G11" s="34">
        <v>9.66</v>
      </c>
      <c r="H11" s="34">
        <v>4.54</v>
      </c>
      <c r="I11" s="34">
        <v>71.17</v>
      </c>
      <c r="J11" s="33">
        <f>SUM(K11:O11)</f>
        <v>109.92999999999999</v>
      </c>
      <c r="K11" s="34">
        <v>6.3</v>
      </c>
      <c r="L11" s="34">
        <v>3.55</v>
      </c>
      <c r="M11" s="34">
        <v>31.89</v>
      </c>
      <c r="N11" s="34">
        <v>26.58</v>
      </c>
      <c r="O11" s="34">
        <f>16.5+25.11</f>
        <v>41.61</v>
      </c>
    </row>
    <row r="12" spans="1:15" x14ac:dyDescent="0.2">
      <c r="A12" s="4" t="s">
        <v>24</v>
      </c>
      <c r="B12" s="33">
        <f t="shared" si="1"/>
        <v>386.83</v>
      </c>
      <c r="C12" s="33">
        <f t="shared" si="2"/>
        <v>281.38</v>
      </c>
      <c r="D12" s="34">
        <v>142.26</v>
      </c>
      <c r="E12" s="34">
        <v>48.66</v>
      </c>
      <c r="F12" s="34">
        <v>6.24</v>
      </c>
      <c r="G12" s="34">
        <v>6.04</v>
      </c>
      <c r="H12" s="34">
        <v>5.55</v>
      </c>
      <c r="I12" s="34">
        <v>72.63</v>
      </c>
      <c r="J12" s="33">
        <f t="shared" ref="J12:J18" si="3">SUM(K12:O12)</f>
        <v>105.44999999999999</v>
      </c>
      <c r="K12" s="34">
        <v>6.19</v>
      </c>
      <c r="L12" s="34">
        <v>2.86</v>
      </c>
      <c r="M12" s="34">
        <v>31.61</v>
      </c>
      <c r="N12" s="34">
        <v>22.24</v>
      </c>
      <c r="O12" s="34">
        <f>16.5+26.05</f>
        <v>42.55</v>
      </c>
    </row>
    <row r="13" spans="1:15" x14ac:dyDescent="0.2">
      <c r="A13" s="4" t="s">
        <v>25</v>
      </c>
      <c r="B13" s="33">
        <f t="shared" si="1"/>
        <v>416.51</v>
      </c>
      <c r="C13" s="33">
        <f t="shared" si="2"/>
        <v>307.07</v>
      </c>
      <c r="D13" s="34">
        <v>139.27000000000001</v>
      </c>
      <c r="E13" s="34">
        <v>54.38</v>
      </c>
      <c r="F13" s="34">
        <v>18.78</v>
      </c>
      <c r="G13" s="34">
        <v>12.12</v>
      </c>
      <c r="H13" s="34">
        <v>5.35</v>
      </c>
      <c r="I13" s="34">
        <v>77.17</v>
      </c>
      <c r="J13" s="33">
        <f t="shared" si="3"/>
        <v>109.44</v>
      </c>
      <c r="K13" s="34">
        <v>6.38</v>
      </c>
      <c r="L13" s="34">
        <v>3.56</v>
      </c>
      <c r="M13" s="34">
        <v>31.15</v>
      </c>
      <c r="N13" s="34">
        <v>25.65</v>
      </c>
      <c r="O13" s="34">
        <f>17.84+24.86</f>
        <v>42.7</v>
      </c>
    </row>
    <row r="14" spans="1:15" x14ac:dyDescent="0.2">
      <c r="A14" s="4" t="s">
        <v>26</v>
      </c>
      <c r="B14" s="33">
        <f t="shared" si="1"/>
        <v>415.79</v>
      </c>
      <c r="C14" s="33">
        <f t="shared" si="2"/>
        <v>307.48</v>
      </c>
      <c r="D14" s="34">
        <v>140.58000000000001</v>
      </c>
      <c r="E14" s="34">
        <v>54.8</v>
      </c>
      <c r="F14" s="34">
        <v>21.96</v>
      </c>
      <c r="G14" s="34">
        <v>12.53</v>
      </c>
      <c r="H14" s="34">
        <v>5.36</v>
      </c>
      <c r="I14" s="34">
        <v>72.25</v>
      </c>
      <c r="J14" s="33">
        <f t="shared" si="3"/>
        <v>108.31</v>
      </c>
      <c r="K14" s="34">
        <v>6.88</v>
      </c>
      <c r="L14" s="34">
        <v>3.08</v>
      </c>
      <c r="M14" s="34">
        <v>32.07</v>
      </c>
      <c r="N14" s="34">
        <v>25.84</v>
      </c>
      <c r="O14" s="34">
        <f>17.95+22.49</f>
        <v>40.44</v>
      </c>
    </row>
    <row r="15" spans="1:15" x14ac:dyDescent="0.2">
      <c r="A15" s="4" t="s">
        <v>27</v>
      </c>
      <c r="B15" s="33">
        <f t="shared" si="1"/>
        <v>416.42099999999999</v>
      </c>
      <c r="C15" s="33">
        <f t="shared" si="2"/>
        <v>310.33999999999997</v>
      </c>
      <c r="D15" s="34">
        <v>142.5</v>
      </c>
      <c r="E15" s="34">
        <v>55.57</v>
      </c>
      <c r="F15" s="34">
        <v>18.350000000000001</v>
      </c>
      <c r="G15" s="34">
        <v>13.01</v>
      </c>
      <c r="H15" s="34">
        <v>4.84</v>
      </c>
      <c r="I15" s="34">
        <v>76.069999999999993</v>
      </c>
      <c r="J15" s="33">
        <f t="shared" si="3"/>
        <v>106.081</v>
      </c>
      <c r="K15" s="34">
        <v>5.51</v>
      </c>
      <c r="L15" s="34">
        <v>3.04</v>
      </c>
      <c r="M15" s="34">
        <v>30.43</v>
      </c>
      <c r="N15" s="34">
        <v>24.54</v>
      </c>
      <c r="O15" s="34">
        <f>18.11+24.451</f>
        <v>42.561</v>
      </c>
    </row>
    <row r="16" spans="1:15" x14ac:dyDescent="0.2">
      <c r="A16" s="4" t="s">
        <v>28</v>
      </c>
      <c r="B16" s="33">
        <f t="shared" si="1"/>
        <v>412.89499999999998</v>
      </c>
      <c r="C16" s="33">
        <f t="shared" si="2"/>
        <v>310.733</v>
      </c>
      <c r="D16" s="34">
        <v>146.09299999999999</v>
      </c>
      <c r="E16" s="34">
        <v>52.14</v>
      </c>
      <c r="F16" s="34">
        <v>20.76</v>
      </c>
      <c r="G16" s="34">
        <v>12.72</v>
      </c>
      <c r="H16" s="34">
        <v>3.27</v>
      </c>
      <c r="I16" s="34">
        <v>75.75</v>
      </c>
      <c r="J16" s="33">
        <f t="shared" si="3"/>
        <v>102.16200000000001</v>
      </c>
      <c r="K16" s="34">
        <v>4.96</v>
      </c>
      <c r="L16" s="34">
        <v>2.77</v>
      </c>
      <c r="M16" s="34">
        <v>28.53</v>
      </c>
      <c r="N16" s="34">
        <v>25.36</v>
      </c>
      <c r="O16" s="34">
        <f>16.99+23.552</f>
        <v>40.542000000000002</v>
      </c>
    </row>
    <row r="17" spans="1:15" x14ac:dyDescent="0.2">
      <c r="A17" s="4" t="s">
        <v>29</v>
      </c>
      <c r="B17" s="33">
        <f t="shared" si="1"/>
        <v>411.17</v>
      </c>
      <c r="C17" s="33">
        <f t="shared" si="2"/>
        <v>301.60000000000002</v>
      </c>
      <c r="D17" s="34">
        <v>145.91</v>
      </c>
      <c r="E17" s="34">
        <v>54.14</v>
      </c>
      <c r="F17" s="34">
        <v>18.2</v>
      </c>
      <c r="G17" s="34">
        <v>12.07</v>
      </c>
      <c r="H17" s="34">
        <v>3.47</v>
      </c>
      <c r="I17" s="34">
        <v>67.81</v>
      </c>
      <c r="J17" s="33">
        <f t="shared" si="3"/>
        <v>109.57000000000001</v>
      </c>
      <c r="K17" s="34">
        <v>5</v>
      </c>
      <c r="L17" s="34">
        <v>3.55</v>
      </c>
      <c r="M17" s="34">
        <v>33.07</v>
      </c>
      <c r="N17" s="34">
        <v>26.34</v>
      </c>
      <c r="O17" s="34">
        <f>17.43+24.18</f>
        <v>41.61</v>
      </c>
    </row>
    <row r="18" spans="1:15" x14ac:dyDescent="0.2">
      <c r="A18" s="4" t="s">
        <v>30</v>
      </c>
      <c r="B18" s="33">
        <f t="shared" si="1"/>
        <v>408.83699999999999</v>
      </c>
      <c r="C18" s="33">
        <f t="shared" si="2"/>
        <v>301.21800000000002</v>
      </c>
      <c r="D18" s="34">
        <v>148.57300000000001</v>
      </c>
      <c r="E18" s="34">
        <v>56.383000000000003</v>
      </c>
      <c r="F18" s="34">
        <v>22.225999999999999</v>
      </c>
      <c r="G18" s="34">
        <v>13.173999999999999</v>
      </c>
      <c r="H18" s="34">
        <v>2.907</v>
      </c>
      <c r="I18" s="34">
        <v>57.954999999999998</v>
      </c>
      <c r="J18" s="33">
        <f t="shared" si="3"/>
        <v>107.619</v>
      </c>
      <c r="K18" s="34">
        <v>4.7210000000000001</v>
      </c>
      <c r="L18" s="34">
        <v>3.1</v>
      </c>
      <c r="M18" s="34">
        <v>33.018000000000001</v>
      </c>
      <c r="N18" s="34">
        <v>25.016999999999999</v>
      </c>
      <c r="O18" s="34">
        <f>17.639+24.124</f>
        <v>41.762999999999998</v>
      </c>
    </row>
    <row r="19" spans="1:15" x14ac:dyDescent="0.2">
      <c r="A19" s="32" t="s">
        <v>31</v>
      </c>
      <c r="B19" s="35">
        <f>SUM(C19,J19)</f>
        <v>410.38899999999995</v>
      </c>
      <c r="C19" s="35">
        <f>SUM(D19:I19)</f>
        <v>301.56499999999994</v>
      </c>
      <c r="D19" s="36">
        <v>149.71199999999999</v>
      </c>
      <c r="E19" s="36">
        <v>53.268000000000001</v>
      </c>
      <c r="F19" s="36">
        <v>22.053000000000001</v>
      </c>
      <c r="G19" s="36">
        <v>13.86</v>
      </c>
      <c r="H19" s="36">
        <v>3.3959999999999999</v>
      </c>
      <c r="I19" s="36">
        <v>59.276000000000003</v>
      </c>
      <c r="J19" s="35">
        <f>SUM(K19:O19)</f>
        <v>108.824</v>
      </c>
      <c r="K19" s="36">
        <v>4.6970000000000001</v>
      </c>
      <c r="L19" s="36">
        <v>3.129</v>
      </c>
      <c r="M19" s="36">
        <v>33.534999999999997</v>
      </c>
      <c r="N19" s="36">
        <v>24.245000000000001</v>
      </c>
      <c r="O19" s="36">
        <f>16.732+26.486</f>
        <v>43.218000000000004</v>
      </c>
    </row>
    <row r="20" spans="1:15" x14ac:dyDescent="0.2">
      <c r="A20" s="10" t="s">
        <v>55</v>
      </c>
      <c r="B20" s="15"/>
      <c r="C20" s="15"/>
      <c r="D20" s="7"/>
      <c r="E20" s="7"/>
      <c r="F20" s="7"/>
      <c r="G20" s="7"/>
      <c r="H20" s="7"/>
      <c r="I20" s="7"/>
      <c r="J20" s="15"/>
      <c r="K20" s="7"/>
      <c r="L20" s="7"/>
      <c r="M20" s="7"/>
      <c r="N20" s="7"/>
      <c r="O20" s="7"/>
    </row>
    <row r="21" spans="1:15" x14ac:dyDescent="0.2">
      <c r="A21" s="10" t="s">
        <v>47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x14ac:dyDescent="0.2">
      <c r="A22" s="10" t="s">
        <v>62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x14ac:dyDescent="0.2">
      <c r="A23" s="9" t="s">
        <v>60</v>
      </c>
      <c r="B23" s="9"/>
      <c r="C23" s="9"/>
      <c r="D23" s="9"/>
      <c r="E23" s="9"/>
      <c r="F23" s="9"/>
      <c r="G23" s="9"/>
      <c r="H23" s="9"/>
      <c r="I23" s="9"/>
      <c r="J23" s="9"/>
      <c r="K23" s="28"/>
      <c r="L23" s="28"/>
      <c r="M23" s="28"/>
      <c r="N23" s="28"/>
      <c r="O23" s="28"/>
    </row>
  </sheetData>
  <mergeCells count="5">
    <mergeCell ref="A1:O1"/>
    <mergeCell ref="A5:A6"/>
    <mergeCell ref="B5:B6"/>
    <mergeCell ref="C5:I5"/>
    <mergeCell ref="J5:O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3"/>
  <sheetViews>
    <sheetView workbookViewId="0">
      <selection activeCell="A23" sqref="A23"/>
    </sheetView>
  </sheetViews>
  <sheetFormatPr baseColWidth="10" defaultColWidth="11.42578125" defaultRowHeight="12" x14ac:dyDescent="0.2"/>
  <cols>
    <col min="1" max="4" width="11.42578125" style="5"/>
    <col min="5" max="5" width="12.5703125" style="5" customWidth="1"/>
    <col min="6" max="16384" width="11.42578125" style="5"/>
  </cols>
  <sheetData>
    <row r="1" spans="1:15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x14ac:dyDescent="0.2">
      <c r="A2" s="2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">
      <c r="A5" s="45" t="s">
        <v>1</v>
      </c>
      <c r="B5" s="47" t="s">
        <v>2</v>
      </c>
      <c r="C5" s="49" t="s">
        <v>3</v>
      </c>
      <c r="D5" s="49"/>
      <c r="E5" s="49"/>
      <c r="F5" s="49"/>
      <c r="G5" s="49"/>
      <c r="H5" s="49"/>
      <c r="I5" s="49"/>
      <c r="J5" s="47" t="s">
        <v>4</v>
      </c>
      <c r="K5" s="47"/>
      <c r="L5" s="47"/>
      <c r="M5" s="47"/>
      <c r="N5" s="47"/>
      <c r="O5" s="47"/>
    </row>
    <row r="6" spans="1:15" ht="36" x14ac:dyDescent="0.2">
      <c r="A6" s="46"/>
      <c r="B6" s="48"/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35</v>
      </c>
      <c r="J6" s="13" t="s">
        <v>11</v>
      </c>
      <c r="K6" s="12" t="s">
        <v>12</v>
      </c>
      <c r="L6" s="12" t="s">
        <v>13</v>
      </c>
      <c r="M6" s="12" t="s">
        <v>14</v>
      </c>
      <c r="N6" s="12" t="s">
        <v>16</v>
      </c>
      <c r="O6" s="12" t="s">
        <v>19</v>
      </c>
    </row>
    <row r="7" spans="1:15" ht="14.25" x14ac:dyDescent="0.2">
      <c r="A7" s="14" t="s">
        <v>52</v>
      </c>
      <c r="B7" s="33">
        <f>AVERAGE(B8:B19)</f>
        <v>416.51039999999995</v>
      </c>
      <c r="C7" s="33">
        <f t="shared" ref="C7:O7" si="0">AVERAGE(C8:C19)</f>
        <v>305.86466666666666</v>
      </c>
      <c r="D7" s="33">
        <f t="shared" si="0"/>
        <v>150.10883333333337</v>
      </c>
      <c r="E7" s="33">
        <f t="shared" si="0"/>
        <v>58.101166666666664</v>
      </c>
      <c r="F7" s="33">
        <f t="shared" si="0"/>
        <v>20.56175</v>
      </c>
      <c r="G7" s="33">
        <f t="shared" si="0"/>
        <v>12.808999999999999</v>
      </c>
      <c r="H7" s="33">
        <f t="shared" si="0"/>
        <v>5.0297500000000008</v>
      </c>
      <c r="I7" s="33">
        <f t="shared" si="0"/>
        <v>59.254166666666663</v>
      </c>
      <c r="J7" s="33">
        <f t="shared" si="0"/>
        <v>110.64573333333334</v>
      </c>
      <c r="K7" s="33">
        <f t="shared" si="0"/>
        <v>4.1624166666666671</v>
      </c>
      <c r="L7" s="33">
        <f t="shared" si="0"/>
        <v>3.2726666666666664</v>
      </c>
      <c r="M7" s="33">
        <f t="shared" si="0"/>
        <v>30.151333333333337</v>
      </c>
      <c r="N7" s="33">
        <f t="shared" si="0"/>
        <v>24.30575</v>
      </c>
      <c r="O7" s="33">
        <f t="shared" si="0"/>
        <v>48.753566666666671</v>
      </c>
    </row>
    <row r="8" spans="1:15" x14ac:dyDescent="0.2">
      <c r="A8" s="4" t="s">
        <v>20</v>
      </c>
      <c r="B8" s="33">
        <f>SUM(C8,J8)</f>
        <v>407.16300000000001</v>
      </c>
      <c r="C8" s="33">
        <f>SUM(D8:I8)</f>
        <v>301.44299999999998</v>
      </c>
      <c r="D8" s="34">
        <v>149.363</v>
      </c>
      <c r="E8" s="34">
        <v>56.45</v>
      </c>
      <c r="F8" s="34">
        <v>18.7</v>
      </c>
      <c r="G8" s="34">
        <v>12.47</v>
      </c>
      <c r="H8" s="34">
        <v>3.68</v>
      </c>
      <c r="I8" s="34">
        <v>60.78</v>
      </c>
      <c r="J8" s="33">
        <f>SUM(K8:O8)</f>
        <v>105.72</v>
      </c>
      <c r="K8" s="34">
        <v>4.3099999999999996</v>
      </c>
      <c r="L8" s="34">
        <v>3.86</v>
      </c>
      <c r="M8" s="34">
        <v>32.39</v>
      </c>
      <c r="N8" s="34">
        <v>22</v>
      </c>
      <c r="O8" s="34">
        <f>16.93+26.23</f>
        <v>43.16</v>
      </c>
    </row>
    <row r="9" spans="1:15" x14ac:dyDescent="0.2">
      <c r="A9" s="4" t="s">
        <v>21</v>
      </c>
      <c r="B9" s="33">
        <f t="shared" ref="B9:B18" si="1">SUM(C9,J9)</f>
        <v>402.78800000000001</v>
      </c>
      <c r="C9" s="33">
        <f t="shared" ref="C9:C18" si="2">SUM(D9:I9)</f>
        <v>297.42599999999999</v>
      </c>
      <c r="D9" s="34">
        <v>147.35599999999999</v>
      </c>
      <c r="E9" s="34">
        <v>57.557000000000002</v>
      </c>
      <c r="F9" s="34">
        <v>15.462999999999999</v>
      </c>
      <c r="G9" s="34">
        <v>12.279</v>
      </c>
      <c r="H9" s="34">
        <v>3.8719999999999999</v>
      </c>
      <c r="I9" s="34">
        <v>60.899000000000001</v>
      </c>
      <c r="J9" s="33">
        <f>SUM(K9:O9)</f>
        <v>105.36200000000001</v>
      </c>
      <c r="K9" s="34">
        <v>4.1849999999999996</v>
      </c>
      <c r="L9" s="34">
        <v>3.2389999999999999</v>
      </c>
      <c r="M9" s="34">
        <v>31.901</v>
      </c>
      <c r="N9" s="34">
        <v>21.837</v>
      </c>
      <c r="O9" s="34">
        <f>17.97+26.23</f>
        <v>44.2</v>
      </c>
    </row>
    <row r="10" spans="1:15" x14ac:dyDescent="0.2">
      <c r="A10" s="4" t="s">
        <v>22</v>
      </c>
      <c r="B10" s="33">
        <f t="shared" si="1"/>
        <v>411.464</v>
      </c>
      <c r="C10" s="33">
        <f t="shared" si="2"/>
        <v>305.44099999999997</v>
      </c>
      <c r="D10" s="34">
        <v>148.83199999999999</v>
      </c>
      <c r="E10" s="34">
        <v>56.573</v>
      </c>
      <c r="F10" s="34">
        <v>21.6</v>
      </c>
      <c r="G10" s="34">
        <v>13.725</v>
      </c>
      <c r="H10" s="34">
        <v>3.8410000000000002</v>
      </c>
      <c r="I10" s="34">
        <v>60.87</v>
      </c>
      <c r="J10" s="33">
        <f>SUM(K10:O10)</f>
        <v>106.02300000000001</v>
      </c>
      <c r="K10" s="34">
        <v>4.2160000000000002</v>
      </c>
      <c r="L10" s="34">
        <v>3.0910000000000002</v>
      </c>
      <c r="M10" s="34">
        <v>33.026000000000003</v>
      </c>
      <c r="N10" s="34">
        <v>21.803000000000001</v>
      </c>
      <c r="O10" s="34">
        <f>17.777+26.11</f>
        <v>43.887</v>
      </c>
    </row>
    <row r="11" spans="1:15" x14ac:dyDescent="0.2">
      <c r="A11" s="4" t="s">
        <v>23</v>
      </c>
      <c r="B11" s="33">
        <f t="shared" si="1"/>
        <v>440.048</v>
      </c>
      <c r="C11" s="33">
        <f t="shared" si="2"/>
        <v>301.41199999999998</v>
      </c>
      <c r="D11" s="34">
        <v>148.44499999999999</v>
      </c>
      <c r="E11" s="34">
        <v>58.432000000000002</v>
      </c>
      <c r="F11" s="34">
        <v>21.757999999999999</v>
      </c>
      <c r="G11" s="34">
        <v>13.475</v>
      </c>
      <c r="H11" s="34">
        <v>4.6459999999999999</v>
      </c>
      <c r="I11" s="34">
        <v>54.655999999999999</v>
      </c>
      <c r="J11" s="33">
        <f>SUM(K11:O11)</f>
        <v>138.636</v>
      </c>
      <c r="K11" s="34">
        <v>4.3710000000000004</v>
      </c>
      <c r="L11" s="34">
        <v>3.3820000000000001</v>
      </c>
      <c r="M11" s="34">
        <v>33.293999999999997</v>
      </c>
      <c r="N11" s="34">
        <v>24.975999999999999</v>
      </c>
      <c r="O11" s="34">
        <f>17.957+54.656</f>
        <v>72.613</v>
      </c>
    </row>
    <row r="12" spans="1:15" x14ac:dyDescent="0.2">
      <c r="A12" s="4" t="s">
        <v>24</v>
      </c>
      <c r="B12" s="33">
        <f t="shared" si="1"/>
        <v>407.40880000000004</v>
      </c>
      <c r="C12" s="33">
        <f t="shared" si="2"/>
        <v>298.80700000000002</v>
      </c>
      <c r="D12" s="34">
        <v>148.81</v>
      </c>
      <c r="E12" s="34">
        <v>56.478999999999999</v>
      </c>
      <c r="F12" s="34">
        <v>19.526</v>
      </c>
      <c r="G12" s="34">
        <v>11.478</v>
      </c>
      <c r="H12" s="34">
        <v>5.0860000000000003</v>
      </c>
      <c r="I12" s="34">
        <v>57.427999999999997</v>
      </c>
      <c r="J12" s="33">
        <f t="shared" ref="J12:J18" si="3">SUM(K12:O12)</f>
        <v>108.6018</v>
      </c>
      <c r="K12" s="34">
        <v>4.0650000000000004</v>
      </c>
      <c r="L12" s="34">
        <v>3.6240000000000001</v>
      </c>
      <c r="M12" s="34">
        <v>30.927</v>
      </c>
      <c r="N12" s="34">
        <v>27.605</v>
      </c>
      <c r="O12" s="34">
        <f>17.83+24.5508</f>
        <v>42.380799999999994</v>
      </c>
    </row>
    <row r="13" spans="1:15" x14ac:dyDescent="0.2">
      <c r="A13" s="4" t="s">
        <v>25</v>
      </c>
      <c r="B13" s="33">
        <f t="shared" si="1"/>
        <v>413.524</v>
      </c>
      <c r="C13" s="33">
        <f t="shared" si="2"/>
        <v>305.86699999999996</v>
      </c>
      <c r="D13" s="34">
        <v>146.12299999999999</v>
      </c>
      <c r="E13" s="34">
        <v>58.597000000000001</v>
      </c>
      <c r="F13" s="34">
        <v>22.599</v>
      </c>
      <c r="G13" s="34">
        <v>12.653</v>
      </c>
      <c r="H13" s="34">
        <v>4.7370000000000001</v>
      </c>
      <c r="I13" s="34">
        <v>61.158000000000001</v>
      </c>
      <c r="J13" s="33">
        <f t="shared" si="3"/>
        <v>107.65700000000001</v>
      </c>
      <c r="K13" s="34">
        <v>4.3090000000000002</v>
      </c>
      <c r="L13" s="34">
        <v>2.944</v>
      </c>
      <c r="M13" s="34">
        <v>32.246000000000002</v>
      </c>
      <c r="N13" s="34">
        <v>23.882999999999999</v>
      </c>
      <c r="O13" s="34">
        <f>18.124+26.151</f>
        <v>44.274999999999999</v>
      </c>
    </row>
    <row r="14" spans="1:15" x14ac:dyDescent="0.2">
      <c r="A14" s="4" t="s">
        <v>26</v>
      </c>
      <c r="B14" s="33">
        <f t="shared" si="1"/>
        <v>414.92499999999995</v>
      </c>
      <c r="C14" s="33">
        <f t="shared" si="2"/>
        <v>304.63299999999998</v>
      </c>
      <c r="D14" s="34">
        <v>149.03399999999999</v>
      </c>
      <c r="E14" s="34">
        <v>58.548999999999999</v>
      </c>
      <c r="F14" s="34">
        <v>21.718</v>
      </c>
      <c r="G14" s="34">
        <v>13.436</v>
      </c>
      <c r="H14" s="34">
        <v>3.448</v>
      </c>
      <c r="I14" s="34">
        <v>58.448</v>
      </c>
      <c r="J14" s="33">
        <f t="shared" si="3"/>
        <v>110.292</v>
      </c>
      <c r="K14" s="34">
        <v>3.9460000000000002</v>
      </c>
      <c r="L14" s="34">
        <v>2.9420000000000002</v>
      </c>
      <c r="M14" s="34">
        <v>30.405999999999999</v>
      </c>
      <c r="N14" s="34">
        <v>24.760999999999999</v>
      </c>
      <c r="O14" s="34">
        <f>22.26+25.977</f>
        <v>48.237000000000002</v>
      </c>
    </row>
    <row r="15" spans="1:15" x14ac:dyDescent="0.2">
      <c r="A15" s="4" t="s">
        <v>27</v>
      </c>
      <c r="B15" s="33">
        <f t="shared" si="1"/>
        <v>413.17700000000002</v>
      </c>
      <c r="C15" s="33">
        <f t="shared" si="2"/>
        <v>309.05500000000001</v>
      </c>
      <c r="D15" s="34">
        <v>148.947</v>
      </c>
      <c r="E15" s="34">
        <v>61.488</v>
      </c>
      <c r="F15" s="34">
        <v>19.488</v>
      </c>
      <c r="G15" s="34">
        <v>13.439</v>
      </c>
      <c r="H15" s="34">
        <v>5.3339999999999996</v>
      </c>
      <c r="I15" s="34">
        <v>60.359000000000002</v>
      </c>
      <c r="J15" s="33">
        <f t="shared" si="3"/>
        <v>104.122</v>
      </c>
      <c r="K15" s="34">
        <v>4.306</v>
      </c>
      <c r="L15" s="34">
        <v>2.7930000000000001</v>
      </c>
      <c r="M15" s="34">
        <v>26.062000000000001</v>
      </c>
      <c r="N15" s="34">
        <v>22.329000000000001</v>
      </c>
      <c r="O15" s="34">
        <f>21.924+26.708</f>
        <v>48.631999999999998</v>
      </c>
    </row>
    <row r="16" spans="1:15" x14ac:dyDescent="0.2">
      <c r="A16" s="4" t="s">
        <v>28</v>
      </c>
      <c r="B16" s="33">
        <f t="shared" si="1"/>
        <v>415.22</v>
      </c>
      <c r="C16" s="33">
        <f t="shared" si="2"/>
        <v>309.47200000000004</v>
      </c>
      <c r="D16" s="34">
        <v>149.63900000000001</v>
      </c>
      <c r="E16" s="34">
        <v>62.347999999999999</v>
      </c>
      <c r="F16" s="34">
        <v>21.134</v>
      </c>
      <c r="G16" s="34">
        <v>11.672000000000001</v>
      </c>
      <c r="H16" s="34">
        <v>4.7670000000000003</v>
      </c>
      <c r="I16" s="34">
        <v>59.911999999999999</v>
      </c>
      <c r="J16" s="33">
        <f t="shared" si="3"/>
        <v>105.74799999999999</v>
      </c>
      <c r="K16" s="34">
        <v>3.89</v>
      </c>
      <c r="L16" s="34">
        <v>3.0739999999999998</v>
      </c>
      <c r="M16" s="34">
        <v>26.74</v>
      </c>
      <c r="N16" s="34">
        <v>22.22</v>
      </c>
      <c r="O16" s="34">
        <f>23.495+26.329</f>
        <v>49.823999999999998</v>
      </c>
    </row>
    <row r="17" spans="1:15" x14ac:dyDescent="0.2">
      <c r="A17" s="4" t="s">
        <v>29</v>
      </c>
      <c r="B17" s="33">
        <f t="shared" si="1"/>
        <v>422.971</v>
      </c>
      <c r="C17" s="33">
        <f t="shared" si="2"/>
        <v>310.36899999999997</v>
      </c>
      <c r="D17" s="34">
        <v>153.53800000000001</v>
      </c>
      <c r="E17" s="34">
        <v>60.136000000000003</v>
      </c>
      <c r="F17" s="34">
        <v>20.933</v>
      </c>
      <c r="G17" s="34">
        <v>12.166</v>
      </c>
      <c r="H17" s="34">
        <v>5.9930000000000003</v>
      </c>
      <c r="I17" s="34">
        <v>57.603000000000002</v>
      </c>
      <c r="J17" s="33">
        <f t="shared" si="3"/>
        <v>112.602</v>
      </c>
      <c r="K17" s="34">
        <v>4.1020000000000003</v>
      </c>
      <c r="L17" s="34">
        <v>3.25</v>
      </c>
      <c r="M17" s="34">
        <v>28.527999999999999</v>
      </c>
      <c r="N17" s="34">
        <v>27.122</v>
      </c>
      <c r="O17" s="34">
        <f>23.073+26.527</f>
        <v>49.6</v>
      </c>
    </row>
    <row r="18" spans="1:15" x14ac:dyDescent="0.2">
      <c r="A18" s="4" t="s">
        <v>30</v>
      </c>
      <c r="B18" s="33">
        <f t="shared" si="1"/>
        <v>426.29399999999998</v>
      </c>
      <c r="C18" s="33">
        <f t="shared" si="2"/>
        <v>313.83099999999996</v>
      </c>
      <c r="D18" s="34">
        <v>158.381</v>
      </c>
      <c r="E18" s="34">
        <v>55.569000000000003</v>
      </c>
      <c r="F18" s="34">
        <v>20.995000000000001</v>
      </c>
      <c r="G18" s="34">
        <v>13.355</v>
      </c>
      <c r="H18" s="34">
        <v>6.5590000000000002</v>
      </c>
      <c r="I18" s="34">
        <v>58.972000000000001</v>
      </c>
      <c r="J18" s="33">
        <f t="shared" si="3"/>
        <v>112.46299999999999</v>
      </c>
      <c r="K18" s="34">
        <v>4.03</v>
      </c>
      <c r="L18" s="34">
        <v>3.3959999999999999</v>
      </c>
      <c r="M18" s="34">
        <v>28.34</v>
      </c>
      <c r="N18" s="34">
        <v>26.690999999999999</v>
      </c>
      <c r="O18" s="34">
        <f>23.761+26.245</f>
        <v>50.006</v>
      </c>
    </row>
    <row r="19" spans="1:15" x14ac:dyDescent="0.2">
      <c r="A19" s="32" t="s">
        <v>31</v>
      </c>
      <c r="B19" s="35">
        <f>SUM(C19,J19)</f>
        <v>423.142</v>
      </c>
      <c r="C19" s="35">
        <f>SUM(D19:I19)</f>
        <v>312.62</v>
      </c>
      <c r="D19" s="36">
        <v>152.83799999999999</v>
      </c>
      <c r="E19" s="36">
        <v>55.036000000000001</v>
      </c>
      <c r="F19" s="36">
        <v>22.827000000000002</v>
      </c>
      <c r="G19" s="36">
        <v>13.56</v>
      </c>
      <c r="H19" s="36">
        <v>8.3940000000000001</v>
      </c>
      <c r="I19" s="36">
        <v>59.965000000000003</v>
      </c>
      <c r="J19" s="35">
        <f>SUM(K19:O19)</f>
        <v>110.52199999999999</v>
      </c>
      <c r="K19" s="36">
        <v>4.2190000000000003</v>
      </c>
      <c r="L19" s="36">
        <v>3.677</v>
      </c>
      <c r="M19" s="36">
        <v>27.956</v>
      </c>
      <c r="N19" s="36">
        <v>26.442</v>
      </c>
      <c r="O19" s="36">
        <f>22.232+25.996</f>
        <v>48.227999999999994</v>
      </c>
    </row>
    <row r="20" spans="1:15" x14ac:dyDescent="0.2">
      <c r="A20" s="10" t="s">
        <v>55</v>
      </c>
      <c r="B20" s="15"/>
      <c r="C20" s="15"/>
      <c r="D20" s="7"/>
      <c r="E20" s="7"/>
      <c r="F20" s="7"/>
      <c r="G20" s="7"/>
      <c r="H20" s="7"/>
      <c r="I20" s="7"/>
      <c r="J20" s="15"/>
      <c r="K20" s="7"/>
      <c r="L20" s="7"/>
      <c r="M20" s="7"/>
      <c r="N20" s="7"/>
      <c r="O20" s="7"/>
    </row>
    <row r="21" spans="1:15" ht="11.25" customHeight="1" x14ac:dyDescent="0.2">
      <c r="A21" s="10" t="s">
        <v>47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ht="11.25" customHeight="1" x14ac:dyDescent="0.2">
      <c r="A22" s="10" t="s">
        <v>63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ht="11.25" customHeight="1" x14ac:dyDescent="0.2">
      <c r="A23" s="9" t="s">
        <v>60</v>
      </c>
      <c r="B23" s="9"/>
      <c r="C23" s="9"/>
      <c r="D23" s="9"/>
      <c r="E23" s="9"/>
      <c r="F23" s="9"/>
      <c r="G23" s="9"/>
      <c r="H23" s="9"/>
      <c r="I23" s="9"/>
      <c r="J23" s="9"/>
      <c r="K23" s="28"/>
      <c r="L23" s="28"/>
      <c r="M23" s="28"/>
      <c r="N23" s="28"/>
      <c r="O23" s="28"/>
    </row>
  </sheetData>
  <mergeCells count="5">
    <mergeCell ref="A1:O1"/>
    <mergeCell ref="A5:A6"/>
    <mergeCell ref="B5:B6"/>
    <mergeCell ref="C5:I5"/>
    <mergeCell ref="J5:O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3"/>
  <sheetViews>
    <sheetView workbookViewId="0">
      <selection activeCell="A23" sqref="A23"/>
    </sheetView>
  </sheetViews>
  <sheetFormatPr baseColWidth="10" defaultColWidth="11.42578125" defaultRowHeight="12" x14ac:dyDescent="0.2"/>
  <cols>
    <col min="1" max="4" width="11.42578125" style="5"/>
    <col min="5" max="5" width="12.42578125" style="5" customWidth="1"/>
    <col min="6" max="16384" width="11.42578125" style="5"/>
  </cols>
  <sheetData>
    <row r="1" spans="1:15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x14ac:dyDescent="0.2">
      <c r="A2" s="2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">
      <c r="A5" s="45" t="s">
        <v>1</v>
      </c>
      <c r="B5" s="47" t="s">
        <v>2</v>
      </c>
      <c r="C5" s="49" t="s">
        <v>3</v>
      </c>
      <c r="D5" s="49"/>
      <c r="E5" s="49"/>
      <c r="F5" s="49"/>
      <c r="G5" s="49"/>
      <c r="H5" s="49"/>
      <c r="I5" s="49"/>
      <c r="J5" s="47" t="s">
        <v>4</v>
      </c>
      <c r="K5" s="47"/>
      <c r="L5" s="47"/>
      <c r="M5" s="47"/>
      <c r="N5" s="47"/>
      <c r="O5" s="47"/>
    </row>
    <row r="6" spans="1:15" ht="36" x14ac:dyDescent="0.2">
      <c r="A6" s="46"/>
      <c r="B6" s="48"/>
      <c r="C6" s="12" t="s">
        <v>33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35</v>
      </c>
      <c r="J6" s="13" t="s">
        <v>11</v>
      </c>
      <c r="K6" s="12" t="s">
        <v>12</v>
      </c>
      <c r="L6" s="12" t="s">
        <v>13</v>
      </c>
      <c r="M6" s="12" t="s">
        <v>14</v>
      </c>
      <c r="N6" s="12" t="s">
        <v>16</v>
      </c>
      <c r="O6" s="12" t="s">
        <v>19</v>
      </c>
    </row>
    <row r="7" spans="1:15" ht="14.25" x14ac:dyDescent="0.2">
      <c r="A7" s="14" t="s">
        <v>52</v>
      </c>
      <c r="B7" s="33">
        <f>AVERAGE(B8:B19)</f>
        <v>374.83984166666664</v>
      </c>
      <c r="C7" s="33">
        <f t="shared" ref="C7:O7" si="0">AVERAGE(C8:C19)</f>
        <v>270.72525833333333</v>
      </c>
      <c r="D7" s="33">
        <f t="shared" si="0"/>
        <v>134.16850000000002</v>
      </c>
      <c r="E7" s="33">
        <f t="shared" si="0"/>
        <v>50.738666666666667</v>
      </c>
      <c r="F7" s="33">
        <f t="shared" si="0"/>
        <v>14.636925</v>
      </c>
      <c r="G7" s="33">
        <f t="shared" si="0"/>
        <v>9.922583333333332</v>
      </c>
      <c r="H7" s="33">
        <f t="shared" si="0"/>
        <v>6.3324999999999996</v>
      </c>
      <c r="I7" s="33">
        <f t="shared" si="0"/>
        <v>54.926083333333331</v>
      </c>
      <c r="J7" s="33">
        <f t="shared" si="0"/>
        <v>104.11458333333337</v>
      </c>
      <c r="K7" s="33">
        <f t="shared" si="0"/>
        <v>4.3227500000000001</v>
      </c>
      <c r="L7" s="33">
        <f t="shared" si="0"/>
        <v>3.2182500000000007</v>
      </c>
      <c r="M7" s="33">
        <f t="shared" si="0"/>
        <v>24.363166666666668</v>
      </c>
      <c r="N7" s="33">
        <f t="shared" si="0"/>
        <v>22.834416666666659</v>
      </c>
      <c r="O7" s="33">
        <f t="shared" si="0"/>
        <v>49.375999999999998</v>
      </c>
    </row>
    <row r="8" spans="1:15" x14ac:dyDescent="0.2">
      <c r="A8" s="4" t="s">
        <v>20</v>
      </c>
      <c r="B8" s="33">
        <f>SUM(C8,J8)</f>
        <v>410.60800000000006</v>
      </c>
      <c r="C8" s="33">
        <f>SUM(D8:I8)</f>
        <v>303.71000000000004</v>
      </c>
      <c r="D8" s="34">
        <v>143.08600000000001</v>
      </c>
      <c r="E8" s="34">
        <v>56.918999999999997</v>
      </c>
      <c r="F8" s="34">
        <v>22.827000000000002</v>
      </c>
      <c r="G8" s="34">
        <v>13.56</v>
      </c>
      <c r="H8" s="34">
        <v>7.3650000000000002</v>
      </c>
      <c r="I8" s="34">
        <v>59.953000000000003</v>
      </c>
      <c r="J8" s="33">
        <f>SUM(K8:O8)</f>
        <v>106.89800000000001</v>
      </c>
      <c r="K8" s="34">
        <v>4.335</v>
      </c>
      <c r="L8" s="34">
        <v>3.3570000000000002</v>
      </c>
      <c r="M8" s="34">
        <v>26.245999999999999</v>
      </c>
      <c r="N8" s="34">
        <v>26.181999999999999</v>
      </c>
      <c r="O8" s="34">
        <f>20.466+26.312</f>
        <v>46.778000000000006</v>
      </c>
    </row>
    <row r="9" spans="1:15" x14ac:dyDescent="0.2">
      <c r="A9" s="4" t="s">
        <v>21</v>
      </c>
      <c r="B9" s="33">
        <f t="shared" ref="B9:B18" si="1">SUM(C9,J9)</f>
        <v>385.73400000000004</v>
      </c>
      <c r="C9" s="33">
        <f t="shared" ref="C9:C18" si="2">SUM(D9:I9)</f>
        <v>283.05</v>
      </c>
      <c r="D9" s="34">
        <v>132.364</v>
      </c>
      <c r="E9" s="34">
        <v>51.777000000000001</v>
      </c>
      <c r="F9" s="34">
        <v>20.663</v>
      </c>
      <c r="G9" s="34">
        <v>12.731</v>
      </c>
      <c r="H9" s="34">
        <v>6.4660000000000002</v>
      </c>
      <c r="I9" s="34">
        <v>59.048999999999999</v>
      </c>
      <c r="J9" s="33">
        <f>SUM(K9:O9)</f>
        <v>102.684</v>
      </c>
      <c r="K9" s="34">
        <v>3.9980000000000002</v>
      </c>
      <c r="L9" s="34">
        <v>3.2570000000000001</v>
      </c>
      <c r="M9" s="34">
        <v>26.181000000000001</v>
      </c>
      <c r="N9" s="34">
        <v>24.591000000000001</v>
      </c>
      <c r="O9" s="34">
        <f>19.015+25.642</f>
        <v>44.656999999999996</v>
      </c>
    </row>
    <row r="10" spans="1:15" x14ac:dyDescent="0.2">
      <c r="A10" s="4" t="s">
        <v>22</v>
      </c>
      <c r="B10" s="33">
        <f t="shared" si="1"/>
        <v>379.24</v>
      </c>
      <c r="C10" s="33">
        <f t="shared" si="2"/>
        <v>273.62299999999999</v>
      </c>
      <c r="D10" s="34">
        <v>135.12899999999999</v>
      </c>
      <c r="E10" s="34">
        <v>47.621000000000002</v>
      </c>
      <c r="F10" s="34">
        <v>13.96</v>
      </c>
      <c r="G10" s="34">
        <v>12.07</v>
      </c>
      <c r="H10" s="34">
        <v>4.6879999999999997</v>
      </c>
      <c r="I10" s="34">
        <v>60.155000000000001</v>
      </c>
      <c r="J10" s="33">
        <f>SUM(K10:O10)</f>
        <v>105.617</v>
      </c>
      <c r="K10" s="34">
        <v>4.0019999999999998</v>
      </c>
      <c r="L10" s="34">
        <v>3.1739999999999999</v>
      </c>
      <c r="M10" s="34">
        <v>25.027999999999999</v>
      </c>
      <c r="N10" s="34">
        <v>27.184000000000001</v>
      </c>
      <c r="O10" s="34">
        <f>18.802+27.427</f>
        <v>46.228999999999999</v>
      </c>
    </row>
    <row r="11" spans="1:15" x14ac:dyDescent="0.2">
      <c r="A11" s="4" t="s">
        <v>23</v>
      </c>
      <c r="B11" s="33">
        <f t="shared" si="1"/>
        <v>392.08399999999995</v>
      </c>
      <c r="C11" s="33">
        <f t="shared" si="2"/>
        <v>286.51499999999999</v>
      </c>
      <c r="D11" s="34">
        <v>134.78700000000001</v>
      </c>
      <c r="E11" s="34">
        <v>57.470999999999997</v>
      </c>
      <c r="F11" s="34">
        <v>16.428000000000001</v>
      </c>
      <c r="G11" s="34">
        <v>12.599</v>
      </c>
      <c r="H11" s="34">
        <v>6.7380000000000004</v>
      </c>
      <c r="I11" s="34">
        <v>58.491999999999997</v>
      </c>
      <c r="J11" s="33">
        <f>SUM(K11:O11)</f>
        <v>105.56899999999999</v>
      </c>
      <c r="K11" s="34">
        <v>3.9359999999999999</v>
      </c>
      <c r="L11" s="34">
        <v>3.339</v>
      </c>
      <c r="M11" s="34">
        <v>23.033999999999999</v>
      </c>
      <c r="N11" s="34">
        <v>26.451000000000001</v>
      </c>
      <c r="O11" s="34">
        <f>18.477+30.332</f>
        <v>48.808999999999997</v>
      </c>
    </row>
    <row r="12" spans="1:15" x14ac:dyDescent="0.2">
      <c r="A12" s="4" t="s">
        <v>24</v>
      </c>
      <c r="B12" s="33">
        <f t="shared" si="1"/>
        <v>385.524</v>
      </c>
      <c r="C12" s="33">
        <f t="shared" si="2"/>
        <v>281.209</v>
      </c>
      <c r="D12" s="34">
        <v>133</v>
      </c>
      <c r="E12" s="34">
        <v>55.749000000000002</v>
      </c>
      <c r="F12" s="34">
        <v>17.064</v>
      </c>
      <c r="G12" s="34">
        <v>12.388999999999999</v>
      </c>
      <c r="H12" s="34">
        <v>5.0380000000000003</v>
      </c>
      <c r="I12" s="34">
        <v>57.969000000000001</v>
      </c>
      <c r="J12" s="33">
        <f t="shared" ref="J12:J18" si="3">SUM(K12:O12)</f>
        <v>104.315</v>
      </c>
      <c r="K12" s="34">
        <v>4.2149999999999999</v>
      </c>
      <c r="L12" s="34">
        <v>2.9380000000000002</v>
      </c>
      <c r="M12" s="34">
        <v>23.747</v>
      </c>
      <c r="N12" s="34">
        <v>24.844000000000001</v>
      </c>
      <c r="O12" s="34">
        <f>18.666+29.905</f>
        <v>48.570999999999998</v>
      </c>
    </row>
    <row r="13" spans="1:15" x14ac:dyDescent="0.2">
      <c r="A13" s="4" t="s">
        <v>25</v>
      </c>
      <c r="B13" s="33">
        <f t="shared" si="1"/>
        <v>376.25</v>
      </c>
      <c r="C13" s="33">
        <f t="shared" si="2"/>
        <v>274.221</v>
      </c>
      <c r="D13" s="34">
        <v>134.375</v>
      </c>
      <c r="E13" s="34">
        <v>50.432000000000002</v>
      </c>
      <c r="F13" s="34">
        <v>14.54</v>
      </c>
      <c r="G13" s="34">
        <v>12.003</v>
      </c>
      <c r="H13" s="34">
        <v>6.0940000000000003</v>
      </c>
      <c r="I13" s="34">
        <v>56.777000000000001</v>
      </c>
      <c r="J13" s="33">
        <f t="shared" si="3"/>
        <v>102.029</v>
      </c>
      <c r="K13" s="34">
        <v>3.7749999999999999</v>
      </c>
      <c r="L13" s="34">
        <v>2.6040000000000001</v>
      </c>
      <c r="M13" s="34">
        <v>22.204000000000001</v>
      </c>
      <c r="N13" s="34">
        <v>22.765999999999998</v>
      </c>
      <c r="O13" s="34">
        <f>19.412+31.268</f>
        <v>50.68</v>
      </c>
    </row>
    <row r="14" spans="1:15" x14ac:dyDescent="0.2">
      <c r="A14" s="4" t="s">
        <v>26</v>
      </c>
      <c r="B14" s="33">
        <f t="shared" si="1"/>
        <v>379.06200000000001</v>
      </c>
      <c r="C14" s="33">
        <f t="shared" si="2"/>
        <v>275.25600000000003</v>
      </c>
      <c r="D14" s="34">
        <v>134.209</v>
      </c>
      <c r="E14" s="34">
        <v>54.593000000000004</v>
      </c>
      <c r="F14" s="34">
        <v>13.066000000000001</v>
      </c>
      <c r="G14" s="34">
        <v>10.426</v>
      </c>
      <c r="H14" s="34">
        <v>6.6029999999999998</v>
      </c>
      <c r="I14" s="34">
        <v>56.359000000000002</v>
      </c>
      <c r="J14" s="33">
        <f t="shared" si="3"/>
        <v>103.80600000000001</v>
      </c>
      <c r="K14" s="34">
        <v>4.22</v>
      </c>
      <c r="L14" s="34">
        <v>3.2639999999999998</v>
      </c>
      <c r="M14" s="34">
        <v>23.326000000000001</v>
      </c>
      <c r="N14" s="34">
        <v>21.777999999999999</v>
      </c>
      <c r="O14" s="34">
        <f>19.409+31.809</f>
        <v>51.218000000000004</v>
      </c>
    </row>
    <row r="15" spans="1:15" x14ac:dyDescent="0.2">
      <c r="A15" s="4" t="s">
        <v>27</v>
      </c>
      <c r="B15" s="33">
        <f t="shared" si="1"/>
        <v>357.18300000000005</v>
      </c>
      <c r="C15" s="33">
        <f t="shared" si="2"/>
        <v>254.85200000000003</v>
      </c>
      <c r="D15" s="34">
        <v>133.65600000000001</v>
      </c>
      <c r="E15" s="34">
        <v>52.941000000000003</v>
      </c>
      <c r="F15" s="34">
        <v>12.269</v>
      </c>
      <c r="G15" s="34">
        <v>6.359</v>
      </c>
      <c r="H15" s="34">
        <v>6.3440000000000003</v>
      </c>
      <c r="I15" s="34">
        <v>43.283000000000001</v>
      </c>
      <c r="J15" s="33">
        <f t="shared" si="3"/>
        <v>102.331</v>
      </c>
      <c r="K15" s="34">
        <v>4.1529999999999996</v>
      </c>
      <c r="L15" s="34">
        <v>3.1070000000000002</v>
      </c>
      <c r="M15" s="34">
        <v>23.187000000000001</v>
      </c>
      <c r="N15" s="34">
        <v>22.474</v>
      </c>
      <c r="O15" s="34">
        <f>18.453+30.957</f>
        <v>49.41</v>
      </c>
    </row>
    <row r="16" spans="1:15" x14ac:dyDescent="0.2">
      <c r="A16" s="4" t="s">
        <v>28</v>
      </c>
      <c r="B16" s="33">
        <f t="shared" si="1"/>
        <v>348.113</v>
      </c>
      <c r="C16" s="33">
        <f t="shared" si="2"/>
        <v>240.15299999999999</v>
      </c>
      <c r="D16" s="34">
        <v>130.44900000000001</v>
      </c>
      <c r="E16" s="34">
        <v>40.121000000000002</v>
      </c>
      <c r="F16" s="34">
        <v>10.313000000000001</v>
      </c>
      <c r="G16" s="34">
        <v>6.5759999999999996</v>
      </c>
      <c r="H16" s="34">
        <v>5.7539999999999996</v>
      </c>
      <c r="I16" s="34">
        <v>46.94</v>
      </c>
      <c r="J16" s="33">
        <f>SUM(K16:O16)</f>
        <v>107.96</v>
      </c>
      <c r="K16" s="34">
        <v>5.3739999999999997</v>
      </c>
      <c r="L16" s="34">
        <v>4.0259999999999998</v>
      </c>
      <c r="M16" s="34">
        <v>24.341999999999999</v>
      </c>
      <c r="N16" s="34">
        <v>22.448</v>
      </c>
      <c r="O16" s="34">
        <f>18.498+33.272</f>
        <v>51.769999999999996</v>
      </c>
    </row>
    <row r="17" spans="1:15" x14ac:dyDescent="0.2">
      <c r="A17" s="4" t="s">
        <v>29</v>
      </c>
      <c r="B17" s="33">
        <f t="shared" si="1"/>
        <v>355.70600000000002</v>
      </c>
      <c r="C17" s="33">
        <f t="shared" si="2"/>
        <v>250.32000000000002</v>
      </c>
      <c r="D17" s="34">
        <v>130.30500000000001</v>
      </c>
      <c r="E17" s="34">
        <v>48.164999999999999</v>
      </c>
      <c r="F17" s="34">
        <v>10.794</v>
      </c>
      <c r="G17" s="34">
        <v>5.9660000000000002</v>
      </c>
      <c r="H17" s="34">
        <v>6.0609999999999999</v>
      </c>
      <c r="I17" s="34">
        <v>49.029000000000003</v>
      </c>
      <c r="J17" s="33">
        <f t="shared" si="3"/>
        <v>105.386</v>
      </c>
      <c r="K17" s="34">
        <v>4.6890000000000001</v>
      </c>
      <c r="L17" s="34">
        <v>2.879</v>
      </c>
      <c r="M17" s="34">
        <v>25.123999999999999</v>
      </c>
      <c r="N17" s="34">
        <v>20.265000000000001</v>
      </c>
      <c r="O17" s="34">
        <f>18.501+33.928</f>
        <v>52.429000000000002</v>
      </c>
    </row>
    <row r="18" spans="1:15" x14ac:dyDescent="0.2">
      <c r="A18" s="4" t="s">
        <v>30</v>
      </c>
      <c r="B18" s="33">
        <f t="shared" si="1"/>
        <v>358.11810000000003</v>
      </c>
      <c r="C18" s="33">
        <f t="shared" si="2"/>
        <v>255.8811</v>
      </c>
      <c r="D18" s="34">
        <v>133.46100000000001</v>
      </c>
      <c r="E18" s="34">
        <v>45.914000000000001</v>
      </c>
      <c r="F18" s="34">
        <v>8.1111000000000004</v>
      </c>
      <c r="G18" s="34">
        <v>6.1360000000000001</v>
      </c>
      <c r="H18" s="34">
        <v>7.2110000000000003</v>
      </c>
      <c r="I18" s="34">
        <v>55.048000000000002</v>
      </c>
      <c r="J18" s="33">
        <f t="shared" si="3"/>
        <v>102.23699999999999</v>
      </c>
      <c r="K18" s="34">
        <v>4.4820000000000002</v>
      </c>
      <c r="L18" s="34">
        <v>3.0350000000000001</v>
      </c>
      <c r="M18" s="34">
        <v>24.494</v>
      </c>
      <c r="N18" s="34">
        <v>19.527000000000001</v>
      </c>
      <c r="O18" s="34">
        <f>18.005+32.694</f>
        <v>50.698999999999998</v>
      </c>
    </row>
    <row r="19" spans="1:15" x14ac:dyDescent="0.2">
      <c r="A19" s="32" t="s">
        <v>31</v>
      </c>
      <c r="B19" s="35">
        <f>SUM(C19,J19)</f>
        <v>370.45600000000002</v>
      </c>
      <c r="C19" s="35">
        <f>SUM(D19:I19)</f>
        <v>269.91300000000001</v>
      </c>
      <c r="D19" s="36">
        <v>135.20099999999999</v>
      </c>
      <c r="E19" s="36">
        <v>47.161000000000001</v>
      </c>
      <c r="F19" s="36">
        <v>15.608000000000001</v>
      </c>
      <c r="G19" s="36">
        <v>8.2560000000000002</v>
      </c>
      <c r="H19" s="36">
        <v>7.6280000000000001</v>
      </c>
      <c r="I19" s="36">
        <v>56.058999999999997</v>
      </c>
      <c r="J19" s="35">
        <f>SUM(K19:O19)</f>
        <v>100.54300000000001</v>
      </c>
      <c r="K19" s="36">
        <v>4.694</v>
      </c>
      <c r="L19" s="36">
        <v>3.6389999999999998</v>
      </c>
      <c r="M19" s="36">
        <v>25.445</v>
      </c>
      <c r="N19" s="36">
        <v>15.503</v>
      </c>
      <c r="O19" s="36">
        <f>17.895+33.367</f>
        <v>51.262</v>
      </c>
    </row>
    <row r="20" spans="1:15" x14ac:dyDescent="0.2">
      <c r="A20" s="10" t="s">
        <v>55</v>
      </c>
      <c r="B20" s="15"/>
      <c r="C20" s="15"/>
      <c r="D20" s="7"/>
      <c r="E20" s="7"/>
      <c r="F20" s="7"/>
      <c r="G20" s="7"/>
      <c r="H20" s="7"/>
      <c r="I20" s="7"/>
      <c r="J20" s="15"/>
      <c r="K20" s="7"/>
      <c r="L20" s="7"/>
      <c r="M20" s="7"/>
      <c r="N20" s="7"/>
      <c r="O20" s="7"/>
    </row>
    <row r="21" spans="1:15" ht="11.25" customHeight="1" x14ac:dyDescent="0.2">
      <c r="A21" s="10" t="s">
        <v>46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ht="11.25" customHeight="1" x14ac:dyDescent="0.2">
      <c r="A22" s="10" t="s">
        <v>64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ht="11.25" customHeight="1" x14ac:dyDescent="0.2">
      <c r="A23" s="9" t="s">
        <v>60</v>
      </c>
      <c r="B23" s="9"/>
      <c r="C23" s="9"/>
      <c r="D23" s="9"/>
      <c r="E23" s="9"/>
      <c r="F23" s="9"/>
      <c r="G23" s="9"/>
      <c r="H23" s="9"/>
      <c r="I23" s="9"/>
      <c r="J23" s="9"/>
      <c r="K23" s="28"/>
      <c r="L23" s="28"/>
      <c r="M23" s="28"/>
      <c r="N23" s="28"/>
      <c r="O23" s="28"/>
    </row>
  </sheetData>
  <mergeCells count="4">
    <mergeCell ref="A5:A6"/>
    <mergeCell ref="B5:B6"/>
    <mergeCell ref="C5:I5"/>
    <mergeCell ref="J5:O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3"/>
  <sheetViews>
    <sheetView workbookViewId="0">
      <selection activeCell="J32" sqref="J32"/>
    </sheetView>
  </sheetViews>
  <sheetFormatPr baseColWidth="10" defaultColWidth="11.42578125" defaultRowHeight="12" x14ac:dyDescent="0.2"/>
  <cols>
    <col min="1" max="4" width="11.42578125" style="5"/>
    <col min="5" max="5" width="12.28515625" style="5" customWidth="1"/>
    <col min="6" max="16384" width="11.42578125" style="5"/>
  </cols>
  <sheetData>
    <row r="1" spans="1:15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x14ac:dyDescent="0.2">
      <c r="A2" s="2" t="s">
        <v>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">
      <c r="A5" s="45" t="s">
        <v>1</v>
      </c>
      <c r="B5" s="47" t="s">
        <v>2</v>
      </c>
      <c r="C5" s="49" t="s">
        <v>3</v>
      </c>
      <c r="D5" s="49"/>
      <c r="E5" s="49"/>
      <c r="F5" s="49"/>
      <c r="G5" s="49"/>
      <c r="H5" s="49"/>
      <c r="I5" s="49"/>
      <c r="J5" s="47" t="s">
        <v>4</v>
      </c>
      <c r="K5" s="47"/>
      <c r="L5" s="47"/>
      <c r="M5" s="47"/>
      <c r="N5" s="47"/>
      <c r="O5" s="47"/>
    </row>
    <row r="6" spans="1:15" ht="36" x14ac:dyDescent="0.2">
      <c r="A6" s="46"/>
      <c r="B6" s="48"/>
      <c r="C6" s="12" t="s">
        <v>33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35</v>
      </c>
      <c r="J6" s="13" t="s">
        <v>11</v>
      </c>
      <c r="K6" s="12" t="s">
        <v>12</v>
      </c>
      <c r="L6" s="12" t="s">
        <v>13</v>
      </c>
      <c r="M6" s="12" t="s">
        <v>14</v>
      </c>
      <c r="N6" s="12" t="s">
        <v>16</v>
      </c>
      <c r="O6" s="12" t="s">
        <v>19</v>
      </c>
    </row>
    <row r="7" spans="1:15" ht="14.25" x14ac:dyDescent="0.2">
      <c r="A7" s="14" t="s">
        <v>52</v>
      </c>
      <c r="B7" s="33">
        <f>AVERAGE(B8:B19)</f>
        <v>377.19208333333336</v>
      </c>
      <c r="C7" s="33">
        <f>AVERAGE(C8:C19)</f>
        <v>271.62708333333336</v>
      </c>
      <c r="D7" s="33">
        <f t="shared" ref="D7:O7" si="0">AVERAGE(D8:D19)</f>
        <v>139.43849999999998</v>
      </c>
      <c r="E7" s="33">
        <f t="shared" si="0"/>
        <v>43.731749999999998</v>
      </c>
      <c r="F7" s="33">
        <f t="shared" si="0"/>
        <v>18.670500000000001</v>
      </c>
      <c r="G7" s="33">
        <f t="shared" si="0"/>
        <v>11.857999999999999</v>
      </c>
      <c r="H7" s="33">
        <f t="shared" si="0"/>
        <v>5.8615000000000004</v>
      </c>
      <c r="I7" s="33">
        <f t="shared" si="0"/>
        <v>52.066833333333328</v>
      </c>
      <c r="J7" s="33">
        <f t="shared" si="0"/>
        <v>105.56500000000001</v>
      </c>
      <c r="K7" s="33">
        <f t="shared" si="0"/>
        <v>4.4514166666666659</v>
      </c>
      <c r="L7" s="33">
        <f t="shared" si="0"/>
        <v>4.6029166666666672</v>
      </c>
      <c r="M7" s="33">
        <f t="shared" si="0"/>
        <v>20.377166666666664</v>
      </c>
      <c r="N7" s="33">
        <f t="shared" si="0"/>
        <v>19.504416666666668</v>
      </c>
      <c r="O7" s="33">
        <f t="shared" si="0"/>
        <v>56.629083333333341</v>
      </c>
    </row>
    <row r="8" spans="1:15" x14ac:dyDescent="0.2">
      <c r="A8" s="4" t="s">
        <v>20</v>
      </c>
      <c r="B8" s="33">
        <f>SUM(C8,J8)</f>
        <v>365.18100000000004</v>
      </c>
      <c r="C8" s="33">
        <f>SUM(D8:I8)</f>
        <v>263.93800000000005</v>
      </c>
      <c r="D8" s="34">
        <v>134.614</v>
      </c>
      <c r="E8" s="34">
        <v>47.722000000000001</v>
      </c>
      <c r="F8" s="34">
        <v>18.401</v>
      </c>
      <c r="G8" s="34">
        <v>10.788</v>
      </c>
      <c r="H8" s="34">
        <v>6.5780000000000003</v>
      </c>
      <c r="I8" s="34">
        <v>45.835000000000001</v>
      </c>
      <c r="J8" s="33">
        <f>SUM(K8:O8)</f>
        <v>101.24299999999999</v>
      </c>
      <c r="K8" s="34">
        <v>4.7350000000000003</v>
      </c>
      <c r="L8" s="34">
        <v>4.2069999999999999</v>
      </c>
      <c r="M8" s="34">
        <v>25.585000000000001</v>
      </c>
      <c r="N8" s="34">
        <v>13.991</v>
      </c>
      <c r="O8" s="34">
        <v>52.725000000000001</v>
      </c>
    </row>
    <row r="9" spans="1:15" x14ac:dyDescent="0.2">
      <c r="A9" s="4" t="s">
        <v>21</v>
      </c>
      <c r="B9" s="33">
        <f t="shared" ref="B9:B18" si="1">SUM(C9,J9)</f>
        <v>361.80700000000002</v>
      </c>
      <c r="C9" s="33">
        <f t="shared" ref="C9:C18" si="2">SUM(D9:I9)</f>
        <v>264.45600000000002</v>
      </c>
      <c r="D9" s="34">
        <v>134.51400000000001</v>
      </c>
      <c r="E9" s="34">
        <v>49.494999999999997</v>
      </c>
      <c r="F9" s="34">
        <v>21.646999999999998</v>
      </c>
      <c r="G9" s="34">
        <v>12.647</v>
      </c>
      <c r="H9" s="34">
        <v>6.3239999999999998</v>
      </c>
      <c r="I9" s="34">
        <v>39.829000000000001</v>
      </c>
      <c r="J9" s="33">
        <f>SUM(K9:O9)</f>
        <v>97.350999999999999</v>
      </c>
      <c r="K9" s="34">
        <v>4.37</v>
      </c>
      <c r="L9" s="34">
        <v>3.7149999999999999</v>
      </c>
      <c r="M9" s="34">
        <v>21.888000000000002</v>
      </c>
      <c r="N9" s="34">
        <v>13.878</v>
      </c>
      <c r="O9" s="34">
        <v>53.5</v>
      </c>
    </row>
    <row r="10" spans="1:15" x14ac:dyDescent="0.2">
      <c r="A10" s="4" t="s">
        <v>22</v>
      </c>
      <c r="B10" s="33">
        <f t="shared" si="1"/>
        <v>370.61900000000003</v>
      </c>
      <c r="C10" s="33">
        <f t="shared" si="2"/>
        <v>264.51300000000003</v>
      </c>
      <c r="D10" s="34">
        <v>133.76599999999999</v>
      </c>
      <c r="E10" s="34">
        <v>43.563000000000002</v>
      </c>
      <c r="F10" s="34">
        <v>20.538</v>
      </c>
      <c r="G10" s="34">
        <v>12.218</v>
      </c>
      <c r="H10" s="34">
        <v>7.1609999999999996</v>
      </c>
      <c r="I10" s="34">
        <v>47.267000000000003</v>
      </c>
      <c r="J10" s="33">
        <f>SUM(K10:O10)</f>
        <v>106.10599999999999</v>
      </c>
      <c r="K10" s="34">
        <v>4.7720000000000002</v>
      </c>
      <c r="L10" s="34">
        <v>5.8170000000000002</v>
      </c>
      <c r="M10" s="34">
        <v>21.683</v>
      </c>
      <c r="N10" s="34">
        <v>15.568</v>
      </c>
      <c r="O10" s="34">
        <v>58.265999999999998</v>
      </c>
    </row>
    <row r="11" spans="1:15" x14ac:dyDescent="0.2">
      <c r="A11" s="4" t="s">
        <v>23</v>
      </c>
      <c r="B11" s="33">
        <f t="shared" si="1"/>
        <v>364.65899999999999</v>
      </c>
      <c r="C11" s="33">
        <f t="shared" si="2"/>
        <v>253.91200000000001</v>
      </c>
      <c r="D11" s="34">
        <v>133.416</v>
      </c>
      <c r="E11" s="34">
        <v>49.109000000000002</v>
      </c>
      <c r="F11" s="34">
        <v>22.827000000000002</v>
      </c>
      <c r="G11" s="34">
        <v>11.188000000000001</v>
      </c>
      <c r="H11" s="34">
        <v>5.181</v>
      </c>
      <c r="I11" s="34">
        <v>32.191000000000003</v>
      </c>
      <c r="J11" s="33">
        <f>SUM(K11:O11)</f>
        <v>110.747</v>
      </c>
      <c r="K11" s="34">
        <v>4.8579999999999997</v>
      </c>
      <c r="L11" s="34">
        <v>5.6970000000000001</v>
      </c>
      <c r="M11" s="34">
        <v>19.308</v>
      </c>
      <c r="N11" s="34">
        <v>22.744</v>
      </c>
      <c r="O11" s="34">
        <v>58.14</v>
      </c>
    </row>
    <row r="12" spans="1:15" x14ac:dyDescent="0.2">
      <c r="A12" s="4" t="s">
        <v>24</v>
      </c>
      <c r="B12" s="33">
        <f t="shared" si="1"/>
        <v>350.23099999999999</v>
      </c>
      <c r="C12" s="33">
        <f t="shared" si="2"/>
        <v>239.20800000000003</v>
      </c>
      <c r="D12" s="34">
        <v>130.953</v>
      </c>
      <c r="E12" s="34">
        <v>38.341999999999999</v>
      </c>
      <c r="F12" s="34">
        <v>20.202000000000002</v>
      </c>
      <c r="G12" s="34">
        <v>11.363</v>
      </c>
      <c r="H12" s="34">
        <v>3.1720000000000002</v>
      </c>
      <c r="I12" s="34">
        <v>35.176000000000002</v>
      </c>
      <c r="J12" s="33">
        <f t="shared" ref="J12:J18" si="3">SUM(K12:O12)</f>
        <v>111.023</v>
      </c>
      <c r="K12" s="34">
        <v>4.9210000000000003</v>
      </c>
      <c r="L12" s="34">
        <v>6.0869999999999997</v>
      </c>
      <c r="M12" s="34">
        <v>18.294</v>
      </c>
      <c r="N12" s="34">
        <v>23.349</v>
      </c>
      <c r="O12" s="34">
        <v>58.372</v>
      </c>
    </row>
    <row r="13" spans="1:15" x14ac:dyDescent="0.2">
      <c r="A13" s="4" t="s">
        <v>25</v>
      </c>
      <c r="B13" s="33">
        <f t="shared" si="1"/>
        <v>344.67399999999998</v>
      </c>
      <c r="C13" s="33">
        <f t="shared" si="2"/>
        <v>236.32899999999995</v>
      </c>
      <c r="D13" s="34">
        <v>132.73099999999999</v>
      </c>
      <c r="E13" s="34">
        <v>31.295999999999999</v>
      </c>
      <c r="F13" s="34">
        <v>9.0519999999999996</v>
      </c>
      <c r="G13" s="34">
        <v>12.164999999999999</v>
      </c>
      <c r="H13" s="34">
        <v>4.3129999999999997</v>
      </c>
      <c r="I13" s="34">
        <v>46.771999999999998</v>
      </c>
      <c r="J13" s="33">
        <f t="shared" si="3"/>
        <v>108.345</v>
      </c>
      <c r="K13" s="34">
        <v>5.01</v>
      </c>
      <c r="L13" s="34">
        <v>5.01</v>
      </c>
      <c r="M13" s="34">
        <v>18.268000000000001</v>
      </c>
      <c r="N13" s="34">
        <v>23.047999999999998</v>
      </c>
      <c r="O13" s="34">
        <v>57.009</v>
      </c>
    </row>
    <row r="14" spans="1:15" x14ac:dyDescent="0.2">
      <c r="A14" s="4" t="s">
        <v>26</v>
      </c>
      <c r="B14" s="33">
        <f t="shared" si="1"/>
        <v>357.87599999999998</v>
      </c>
      <c r="C14" s="33">
        <f t="shared" si="2"/>
        <v>249.87699999999998</v>
      </c>
      <c r="D14" s="34">
        <v>132.52699999999999</v>
      </c>
      <c r="E14" s="34">
        <v>39.479999999999997</v>
      </c>
      <c r="F14" s="34">
        <v>8.2189999999999994</v>
      </c>
      <c r="G14" s="34">
        <v>10.06</v>
      </c>
      <c r="H14" s="34">
        <v>3.6280000000000001</v>
      </c>
      <c r="I14" s="34">
        <v>55.963000000000001</v>
      </c>
      <c r="J14" s="33">
        <f t="shared" si="3"/>
        <v>107.999</v>
      </c>
      <c r="K14" s="34">
        <v>4.7670000000000003</v>
      </c>
      <c r="L14" s="34">
        <v>4.3540000000000001</v>
      </c>
      <c r="M14" s="34">
        <v>18.141999999999999</v>
      </c>
      <c r="N14" s="34">
        <v>24.052</v>
      </c>
      <c r="O14" s="34">
        <v>56.683999999999997</v>
      </c>
    </row>
    <row r="15" spans="1:15" x14ac:dyDescent="0.2">
      <c r="A15" s="4" t="s">
        <v>27</v>
      </c>
      <c r="B15" s="33">
        <f t="shared" si="1"/>
        <v>396.96199999999999</v>
      </c>
      <c r="C15" s="33">
        <f t="shared" si="2"/>
        <v>289.54000000000002</v>
      </c>
      <c r="D15" s="34">
        <v>149.697</v>
      </c>
      <c r="E15" s="34">
        <v>45.247</v>
      </c>
      <c r="F15" s="34">
        <v>19.881</v>
      </c>
      <c r="G15" s="34">
        <v>12.439</v>
      </c>
      <c r="H15" s="34">
        <v>6.84</v>
      </c>
      <c r="I15" s="34">
        <v>55.436</v>
      </c>
      <c r="J15" s="33">
        <f t="shared" si="3"/>
        <v>107.422</v>
      </c>
      <c r="K15" s="34">
        <v>4.4720000000000004</v>
      </c>
      <c r="L15" s="34">
        <v>3.3279999999999998</v>
      </c>
      <c r="M15" s="34">
        <v>19.806999999999999</v>
      </c>
      <c r="N15" s="34">
        <v>23.445</v>
      </c>
      <c r="O15" s="34">
        <v>56.370000000000005</v>
      </c>
    </row>
    <row r="16" spans="1:15" x14ac:dyDescent="0.2">
      <c r="A16" s="4" t="s">
        <v>28</v>
      </c>
      <c r="B16" s="33">
        <f t="shared" si="1"/>
        <v>410.91799999999995</v>
      </c>
      <c r="C16" s="33">
        <f t="shared" si="2"/>
        <v>305.50299999999993</v>
      </c>
      <c r="D16" s="34">
        <v>151.054</v>
      </c>
      <c r="E16" s="34">
        <v>49.497</v>
      </c>
      <c r="F16" s="34">
        <v>20.416</v>
      </c>
      <c r="G16" s="34">
        <v>12.866</v>
      </c>
      <c r="H16" s="34">
        <v>6.9020000000000001</v>
      </c>
      <c r="I16" s="34">
        <v>64.768000000000001</v>
      </c>
      <c r="J16" s="33">
        <f>SUM(K16:O16)</f>
        <v>105.41500000000001</v>
      </c>
      <c r="K16" s="34">
        <v>4.3029999999999999</v>
      </c>
      <c r="L16" s="34">
        <v>4.1079999999999997</v>
      </c>
      <c r="M16" s="34">
        <v>21.064</v>
      </c>
      <c r="N16" s="34">
        <v>20.504999999999999</v>
      </c>
      <c r="O16" s="34">
        <v>55.435000000000002</v>
      </c>
    </row>
    <row r="17" spans="1:15" x14ac:dyDescent="0.2">
      <c r="A17" s="4" t="s">
        <v>29</v>
      </c>
      <c r="B17" s="33">
        <f t="shared" si="1"/>
        <v>405.74599999999998</v>
      </c>
      <c r="C17" s="33">
        <f t="shared" si="2"/>
        <v>300.375</v>
      </c>
      <c r="D17" s="34">
        <v>150.405</v>
      </c>
      <c r="E17" s="34">
        <v>42.442999999999998</v>
      </c>
      <c r="F17" s="34">
        <v>21.074000000000002</v>
      </c>
      <c r="G17" s="34">
        <v>12.53</v>
      </c>
      <c r="H17" s="34">
        <v>6.8970000000000002</v>
      </c>
      <c r="I17" s="34">
        <v>67.025999999999996</v>
      </c>
      <c r="J17" s="33">
        <f t="shared" si="3"/>
        <v>105.371</v>
      </c>
      <c r="K17" s="34">
        <v>3.7389999999999999</v>
      </c>
      <c r="L17" s="34">
        <v>4.1210000000000004</v>
      </c>
      <c r="M17" s="34">
        <v>20.437999999999999</v>
      </c>
      <c r="N17" s="34">
        <v>19.026</v>
      </c>
      <c r="O17" s="34">
        <v>58.046999999999997</v>
      </c>
    </row>
    <row r="18" spans="1:15" x14ac:dyDescent="0.2">
      <c r="A18" s="4" t="s">
        <v>30</v>
      </c>
      <c r="B18" s="33">
        <f t="shared" si="1"/>
        <v>402.11399999999998</v>
      </c>
      <c r="C18" s="33">
        <f t="shared" si="2"/>
        <v>297.99599999999998</v>
      </c>
      <c r="D18" s="34">
        <v>149.56299999999999</v>
      </c>
      <c r="E18" s="34">
        <v>44.015000000000001</v>
      </c>
      <c r="F18" s="34">
        <v>19.747</v>
      </c>
      <c r="G18" s="34">
        <v>11.414999999999999</v>
      </c>
      <c r="H18" s="34">
        <v>6.3440000000000003</v>
      </c>
      <c r="I18" s="34">
        <v>66.912000000000006</v>
      </c>
      <c r="J18" s="33">
        <f t="shared" si="3"/>
        <v>104.11799999999999</v>
      </c>
      <c r="K18" s="34">
        <v>3.5310000000000001</v>
      </c>
      <c r="L18" s="34">
        <v>4.2119999999999997</v>
      </c>
      <c r="M18" s="34">
        <v>20.509</v>
      </c>
      <c r="N18" s="34">
        <v>19.382000000000001</v>
      </c>
      <c r="O18" s="34">
        <v>56.483999999999995</v>
      </c>
    </row>
    <row r="19" spans="1:15" x14ac:dyDescent="0.2">
      <c r="A19" s="32" t="s">
        <v>31</v>
      </c>
      <c r="B19" s="35">
        <f>SUM(C19,J19)</f>
        <v>395.51799999999997</v>
      </c>
      <c r="C19" s="35">
        <f>SUM(D19:I19)</f>
        <v>293.87799999999999</v>
      </c>
      <c r="D19" s="36">
        <v>140.02199999999999</v>
      </c>
      <c r="E19" s="36">
        <v>44.572000000000003</v>
      </c>
      <c r="F19" s="36">
        <v>22.042000000000002</v>
      </c>
      <c r="G19" s="36">
        <v>12.617000000000001</v>
      </c>
      <c r="H19" s="36">
        <v>6.9980000000000002</v>
      </c>
      <c r="I19" s="36">
        <v>67.626999999999995</v>
      </c>
      <c r="J19" s="35">
        <f>SUM(K19:O19)</f>
        <v>101.64</v>
      </c>
      <c r="K19" s="36">
        <v>3.9390000000000001</v>
      </c>
      <c r="L19" s="36">
        <v>4.5789999999999997</v>
      </c>
      <c r="M19" s="36">
        <v>19.54</v>
      </c>
      <c r="N19" s="36">
        <v>15.065</v>
      </c>
      <c r="O19" s="36">
        <v>58.517000000000003</v>
      </c>
    </row>
    <row r="20" spans="1:15" x14ac:dyDescent="0.2">
      <c r="A20" s="10" t="s">
        <v>55</v>
      </c>
      <c r="B20" s="15"/>
      <c r="C20" s="15"/>
      <c r="D20" s="7"/>
      <c r="E20" s="7"/>
      <c r="F20" s="7"/>
      <c r="G20" s="7"/>
      <c r="H20" s="7"/>
      <c r="I20" s="7"/>
      <c r="J20" s="15"/>
      <c r="K20" s="7"/>
      <c r="L20" s="7"/>
      <c r="M20" s="7"/>
      <c r="N20" s="7"/>
      <c r="O20" s="7"/>
    </row>
    <row r="21" spans="1:15" ht="12" customHeight="1" x14ac:dyDescent="0.2">
      <c r="A21" s="10" t="s">
        <v>46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ht="12" customHeight="1" x14ac:dyDescent="0.2">
      <c r="A22" s="10" t="s">
        <v>64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ht="12" customHeight="1" x14ac:dyDescent="0.2">
      <c r="A23" s="9" t="s">
        <v>60</v>
      </c>
      <c r="B23" s="9"/>
      <c r="C23" s="9"/>
      <c r="D23" s="9"/>
      <c r="E23" s="9"/>
      <c r="F23" s="9"/>
      <c r="G23" s="9"/>
      <c r="H23" s="9"/>
      <c r="I23" s="9"/>
      <c r="J23" s="9"/>
      <c r="K23" s="28"/>
      <c r="L23" s="28"/>
      <c r="M23" s="28"/>
      <c r="N23" s="28"/>
      <c r="O23" s="28"/>
    </row>
  </sheetData>
  <mergeCells count="5">
    <mergeCell ref="A1:O1"/>
    <mergeCell ref="A5:A6"/>
    <mergeCell ref="B5:B6"/>
    <mergeCell ref="C5:I5"/>
    <mergeCell ref="J5:O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theodore.quant</dc:creator>
  <cp:lastModifiedBy>Theodore Alexander Quant Matos</cp:lastModifiedBy>
  <dcterms:created xsi:type="dcterms:W3CDTF">2020-08-01T19:30:21Z</dcterms:created>
  <dcterms:modified xsi:type="dcterms:W3CDTF">2025-03-26T19:50:08Z</dcterms:modified>
</cp:coreProperties>
</file>