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4A5376D9-508A-442A-9FB4-D03F9FF735F4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3" sheetId="1" r:id="rId1"/>
    <sheet name="2014" sheetId="2" r:id="rId2"/>
    <sheet name="2015" sheetId="4" r:id="rId3"/>
    <sheet name="2016" sheetId="5" r:id="rId4"/>
    <sheet name="2017" sheetId="6" r:id="rId5"/>
    <sheet name="2018" sheetId="7" r:id="rId6"/>
    <sheet name="2019" sheetId="8" r:id="rId7"/>
    <sheet name="2020" sheetId="9" r:id="rId8"/>
    <sheet name="2021" sheetId="10" r:id="rId9"/>
    <sheet name="2022" sheetId="11" r:id="rId10"/>
    <sheet name="2023" sheetId="12" r:id="rId11"/>
    <sheet name="2024" sheetId="13" r:id="rId12"/>
    <sheet name="2025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4" l="1"/>
  <c r="D16" i="14"/>
  <c r="D33" i="14"/>
  <c r="C30" i="14"/>
  <c r="C29" i="14"/>
  <c r="C28" i="14"/>
  <c r="C27" i="14"/>
  <c r="C26" i="14"/>
  <c r="C25" i="14"/>
  <c r="C24" i="14"/>
  <c r="C23" i="14"/>
  <c r="C22" i="14"/>
  <c r="C21" i="14"/>
  <c r="C43" i="14"/>
  <c r="C42" i="14"/>
  <c r="C41" i="14"/>
  <c r="C40" i="14"/>
  <c r="C39" i="14"/>
  <c r="C38" i="14"/>
  <c r="C37" i="14"/>
  <c r="C36" i="14"/>
  <c r="C35" i="14"/>
  <c r="C34" i="14"/>
  <c r="C56" i="14"/>
  <c r="C55" i="14"/>
  <c r="C54" i="14"/>
  <c r="C53" i="14"/>
  <c r="C52" i="14"/>
  <c r="C51" i="14"/>
  <c r="C50" i="14"/>
  <c r="C49" i="14"/>
  <c r="C48" i="14"/>
  <c r="C47" i="14"/>
  <c r="C69" i="14"/>
  <c r="C68" i="14"/>
  <c r="C67" i="14"/>
  <c r="C66" i="14"/>
  <c r="C65" i="14"/>
  <c r="C64" i="14"/>
  <c r="C63" i="14"/>
  <c r="C62" i="14"/>
  <c r="C61" i="14"/>
  <c r="C60" i="14"/>
  <c r="F59" i="14"/>
  <c r="E59" i="14"/>
  <c r="F46" i="14"/>
  <c r="E46" i="14"/>
  <c r="F33" i="14"/>
  <c r="E33" i="14"/>
  <c r="F20" i="14"/>
  <c r="E20" i="14"/>
  <c r="D59" i="14" l="1"/>
  <c r="D46" i="14"/>
  <c r="C14" i="14"/>
  <c r="D20" i="14"/>
  <c r="F18" i="14"/>
  <c r="E18" i="14"/>
  <c r="D18" i="14"/>
  <c r="C18" i="14"/>
  <c r="F17" i="14"/>
  <c r="E17" i="14"/>
  <c r="D17" i="14"/>
  <c r="C17" i="14"/>
  <c r="F16" i="14"/>
  <c r="E16" i="14"/>
  <c r="C16" i="14"/>
  <c r="F15" i="14"/>
  <c r="E15" i="14"/>
  <c r="D15" i="14"/>
  <c r="C15" i="14"/>
  <c r="F14" i="14"/>
  <c r="E14" i="14"/>
  <c r="D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10" i="14"/>
  <c r="E10" i="14"/>
  <c r="D10" i="14"/>
  <c r="C10" i="14"/>
  <c r="F9" i="14"/>
  <c r="E9" i="14"/>
  <c r="D9" i="14"/>
  <c r="F8" i="14"/>
  <c r="E8" i="14"/>
  <c r="D8" i="14"/>
  <c r="D7" i="14"/>
  <c r="F59" i="13"/>
  <c r="E59" i="13"/>
  <c r="D59" i="13"/>
  <c r="C59" i="13"/>
  <c r="F46" i="13"/>
  <c r="E46" i="13"/>
  <c r="D46" i="13"/>
  <c r="C46" i="13"/>
  <c r="F33" i="13"/>
  <c r="E33" i="13"/>
  <c r="D33" i="13"/>
  <c r="C33" i="13"/>
  <c r="F20" i="13"/>
  <c r="E20" i="13"/>
  <c r="D20" i="13"/>
  <c r="C20" i="13"/>
  <c r="F6" i="13"/>
  <c r="E6" i="13"/>
  <c r="C6" i="13"/>
  <c r="D6" i="13"/>
  <c r="C71" i="13"/>
  <c r="C70" i="13"/>
  <c r="C69" i="13"/>
  <c r="C58" i="13"/>
  <c r="C57" i="13"/>
  <c r="C56" i="13"/>
  <c r="C45" i="13"/>
  <c r="C44" i="13"/>
  <c r="C43" i="13"/>
  <c r="C32" i="13"/>
  <c r="C31" i="13"/>
  <c r="C30" i="13"/>
  <c r="C68" i="13"/>
  <c r="C15" i="13" s="1"/>
  <c r="C67" i="13"/>
  <c r="C66" i="13"/>
  <c r="C55" i="13"/>
  <c r="C54" i="13"/>
  <c r="C53" i="13"/>
  <c r="C42" i="13"/>
  <c r="C41" i="13"/>
  <c r="C40" i="13"/>
  <c r="C29" i="13"/>
  <c r="C28" i="13"/>
  <c r="C27" i="13"/>
  <c r="C65" i="13"/>
  <c r="C64" i="13"/>
  <c r="C63" i="13"/>
  <c r="C52" i="13"/>
  <c r="C51" i="13"/>
  <c r="C50" i="13"/>
  <c r="C39" i="13"/>
  <c r="C38" i="13"/>
  <c r="C37" i="13"/>
  <c r="C26" i="13"/>
  <c r="C25" i="13"/>
  <c r="C24" i="13"/>
  <c r="C62" i="13"/>
  <c r="C61" i="13"/>
  <c r="C49" i="13"/>
  <c r="C48" i="13"/>
  <c r="C36" i="13"/>
  <c r="C35" i="13"/>
  <c r="C23" i="13"/>
  <c r="C22" i="13"/>
  <c r="C60" i="13"/>
  <c r="C47" i="13"/>
  <c r="C34" i="13"/>
  <c r="C21" i="13"/>
  <c r="C7" i="13" s="1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F10" i="13"/>
  <c r="E10" i="13"/>
  <c r="D10" i="13"/>
  <c r="F9" i="13"/>
  <c r="E9" i="13"/>
  <c r="D9" i="13"/>
  <c r="F8" i="13"/>
  <c r="E8" i="13"/>
  <c r="D8" i="13"/>
  <c r="F7" i="13"/>
  <c r="E7" i="13"/>
  <c r="D7" i="13"/>
  <c r="C30" i="12"/>
  <c r="F59" i="12"/>
  <c r="F46" i="12"/>
  <c r="F33" i="12"/>
  <c r="F20" i="12"/>
  <c r="F6" i="12"/>
  <c r="E59" i="12"/>
  <c r="E46" i="12"/>
  <c r="E33" i="12"/>
  <c r="E20" i="12"/>
  <c r="E6" i="12"/>
  <c r="D59" i="12"/>
  <c r="D46" i="12"/>
  <c r="D33" i="12"/>
  <c r="D20" i="12"/>
  <c r="D6" i="12"/>
  <c r="C59" i="12"/>
  <c r="C46" i="12"/>
  <c r="C33" i="12"/>
  <c r="C20" i="12"/>
  <c r="C6" i="12"/>
  <c r="C71" i="12"/>
  <c r="C70" i="12"/>
  <c r="C69" i="12"/>
  <c r="C58" i="12"/>
  <c r="C57" i="12"/>
  <c r="C56" i="12"/>
  <c r="C45" i="12"/>
  <c r="C44" i="12"/>
  <c r="C43" i="12"/>
  <c r="C32" i="12"/>
  <c r="C31" i="12"/>
  <c r="C68" i="12"/>
  <c r="C67" i="12"/>
  <c r="C66" i="12"/>
  <c r="C55" i="12"/>
  <c r="C54" i="12"/>
  <c r="C53" i="12"/>
  <c r="C42" i="12"/>
  <c r="C41" i="12"/>
  <c r="C40" i="12"/>
  <c r="C29" i="12"/>
  <c r="C28" i="12"/>
  <c r="C27" i="12"/>
  <c r="C65" i="12"/>
  <c r="C64" i="12"/>
  <c r="C63" i="12"/>
  <c r="C52" i="12"/>
  <c r="C51" i="12"/>
  <c r="C50" i="12"/>
  <c r="C39" i="12"/>
  <c r="C38" i="12"/>
  <c r="C37" i="12"/>
  <c r="C26" i="12"/>
  <c r="C25" i="12"/>
  <c r="C24" i="12"/>
  <c r="C62" i="12"/>
  <c r="C61" i="12"/>
  <c r="C60" i="12"/>
  <c r="C49" i="12"/>
  <c r="C48" i="12"/>
  <c r="C47" i="12"/>
  <c r="C36" i="12"/>
  <c r="C35" i="12"/>
  <c r="C34" i="12"/>
  <c r="C23" i="12"/>
  <c r="C22" i="12"/>
  <c r="C21" i="12"/>
  <c r="D7" i="12"/>
  <c r="F18" i="12"/>
  <c r="E18" i="12"/>
  <c r="D18" i="12"/>
  <c r="F17" i="12"/>
  <c r="E17" i="12"/>
  <c r="D17" i="12"/>
  <c r="F16" i="12"/>
  <c r="E16" i="12"/>
  <c r="D16" i="12"/>
  <c r="F15" i="12"/>
  <c r="E15" i="12"/>
  <c r="D15" i="12"/>
  <c r="F14" i="12"/>
  <c r="E14" i="12"/>
  <c r="D14" i="12"/>
  <c r="F13" i="12"/>
  <c r="E13" i="12"/>
  <c r="D13" i="12"/>
  <c r="F12" i="12"/>
  <c r="E12" i="12"/>
  <c r="D12" i="12"/>
  <c r="C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18" i="11"/>
  <c r="D16" i="11"/>
  <c r="D17" i="11"/>
  <c r="D15" i="11"/>
  <c r="E59" i="11"/>
  <c r="D59" i="11"/>
  <c r="D46" i="11"/>
  <c r="D20" i="11"/>
  <c r="C71" i="11"/>
  <c r="C70" i="11"/>
  <c r="C69" i="11"/>
  <c r="C58" i="11"/>
  <c r="C57" i="11"/>
  <c r="C56" i="11"/>
  <c r="C45" i="11"/>
  <c r="C44" i="11"/>
  <c r="C43" i="11"/>
  <c r="C32" i="11"/>
  <c r="C31" i="11"/>
  <c r="C30" i="11"/>
  <c r="C29" i="11"/>
  <c r="D11" i="11"/>
  <c r="D12" i="11"/>
  <c r="D13" i="11"/>
  <c r="D14" i="11"/>
  <c r="D7" i="11"/>
  <c r="C68" i="11"/>
  <c r="C67" i="11"/>
  <c r="C66" i="11"/>
  <c r="C65" i="11"/>
  <c r="C64" i="11"/>
  <c r="C55" i="11"/>
  <c r="C54" i="11"/>
  <c r="C53" i="11"/>
  <c r="C52" i="11"/>
  <c r="C51" i="11"/>
  <c r="C36" i="11"/>
  <c r="C42" i="11"/>
  <c r="C41" i="11"/>
  <c r="C40" i="11"/>
  <c r="C39" i="11"/>
  <c r="C38" i="11"/>
  <c r="C28" i="11"/>
  <c r="C27" i="11"/>
  <c r="C26" i="11"/>
  <c r="C25" i="11"/>
  <c r="E6" i="14" l="1"/>
  <c r="F6" i="14"/>
  <c r="C59" i="14"/>
  <c r="C46" i="14"/>
  <c r="C7" i="14"/>
  <c r="C9" i="14"/>
  <c r="C33" i="14"/>
  <c r="C8" i="14"/>
  <c r="C20" i="14"/>
  <c r="C18" i="13"/>
  <c r="C13" i="13"/>
  <c r="C10" i="13"/>
  <c r="C9" i="13"/>
  <c r="C11" i="13"/>
  <c r="C12" i="13"/>
  <c r="C14" i="13"/>
  <c r="C17" i="13"/>
  <c r="C16" i="13"/>
  <c r="C8" i="13"/>
  <c r="C17" i="12"/>
  <c r="C18" i="12"/>
  <c r="C16" i="12"/>
  <c r="C15" i="12"/>
  <c r="C13" i="12"/>
  <c r="C14" i="12"/>
  <c r="C10" i="12"/>
  <c r="C11" i="12"/>
  <c r="C7" i="12"/>
  <c r="C8" i="12"/>
  <c r="C9" i="12"/>
  <c r="C15" i="11"/>
  <c r="C32" i="9"/>
  <c r="C45" i="9"/>
  <c r="C58" i="9"/>
  <c r="C20" i="9"/>
  <c r="E8" i="9"/>
  <c r="E9" i="9"/>
  <c r="E10" i="9"/>
  <c r="E11" i="9"/>
  <c r="E12" i="9"/>
  <c r="E13" i="9"/>
  <c r="E14" i="9"/>
  <c r="E15" i="9"/>
  <c r="E16" i="9"/>
  <c r="E17" i="9"/>
  <c r="E18" i="9"/>
  <c r="D8" i="9"/>
  <c r="D9" i="9"/>
  <c r="D10" i="9"/>
  <c r="D11" i="9"/>
  <c r="D12" i="9"/>
  <c r="D13" i="9"/>
  <c r="D14" i="9"/>
  <c r="D15" i="9"/>
  <c r="D16" i="9"/>
  <c r="D17" i="9"/>
  <c r="D18" i="9"/>
  <c r="D7" i="9"/>
  <c r="D6" i="9" s="1"/>
  <c r="E7" i="9"/>
  <c r="E8" i="8"/>
  <c r="E9" i="8"/>
  <c r="E10" i="8"/>
  <c r="E11" i="8"/>
  <c r="E12" i="8"/>
  <c r="E13" i="8"/>
  <c r="E14" i="8"/>
  <c r="E15" i="8"/>
  <c r="E16" i="8"/>
  <c r="E17" i="8"/>
  <c r="E18" i="8"/>
  <c r="E7" i="8"/>
  <c r="D8" i="8"/>
  <c r="D9" i="8"/>
  <c r="D10" i="8"/>
  <c r="D11" i="8"/>
  <c r="D12" i="8"/>
  <c r="D13" i="8"/>
  <c r="D14" i="8"/>
  <c r="D15" i="8"/>
  <c r="D16" i="8"/>
  <c r="D17" i="8"/>
  <c r="D18" i="8"/>
  <c r="D7" i="8"/>
  <c r="E18" i="7"/>
  <c r="E8" i="7"/>
  <c r="E9" i="7"/>
  <c r="E10" i="7"/>
  <c r="E11" i="7"/>
  <c r="E12" i="7"/>
  <c r="E13" i="7"/>
  <c r="E14" i="7"/>
  <c r="E16" i="7"/>
  <c r="E17" i="7"/>
  <c r="D8" i="7"/>
  <c r="D9" i="7"/>
  <c r="D10" i="7"/>
  <c r="D11" i="7"/>
  <c r="D12" i="7"/>
  <c r="D13" i="7"/>
  <c r="D14" i="7"/>
  <c r="D16" i="7"/>
  <c r="D17" i="7"/>
  <c r="D18" i="7"/>
  <c r="D7" i="7"/>
  <c r="E8" i="6"/>
  <c r="E9" i="6"/>
  <c r="E10" i="6"/>
  <c r="E11" i="6"/>
  <c r="E12" i="6"/>
  <c r="E13" i="6"/>
  <c r="E14" i="6"/>
  <c r="E15" i="6"/>
  <c r="E16" i="6"/>
  <c r="E17" i="6"/>
  <c r="E18" i="6"/>
  <c r="E7" i="6"/>
  <c r="D18" i="6"/>
  <c r="D8" i="6"/>
  <c r="D9" i="6"/>
  <c r="D10" i="6"/>
  <c r="D11" i="6"/>
  <c r="D12" i="6"/>
  <c r="D13" i="6"/>
  <c r="D14" i="6"/>
  <c r="D15" i="6"/>
  <c r="D16" i="6"/>
  <c r="D17" i="6"/>
  <c r="D7" i="6"/>
  <c r="E18" i="5"/>
  <c r="E7" i="5"/>
  <c r="D9" i="5"/>
  <c r="D18" i="5"/>
  <c r="D8" i="5"/>
  <c r="D10" i="5"/>
  <c r="D11" i="5"/>
  <c r="D12" i="5"/>
  <c r="D13" i="5"/>
  <c r="D14" i="5"/>
  <c r="D15" i="5"/>
  <c r="D16" i="5"/>
  <c r="D17" i="5"/>
  <c r="D7" i="5"/>
  <c r="D6" i="5" s="1"/>
  <c r="D10" i="11"/>
  <c r="D9" i="11"/>
  <c r="D8" i="11"/>
  <c r="D33" i="11"/>
  <c r="C63" i="11"/>
  <c r="C50" i="11"/>
  <c r="C37" i="11"/>
  <c r="C24" i="11"/>
  <c r="C10" i="11" s="1"/>
  <c r="C62" i="11"/>
  <c r="C49" i="11"/>
  <c r="C23" i="11"/>
  <c r="C22" i="11"/>
  <c r="C61" i="11"/>
  <c r="C48" i="11"/>
  <c r="C47" i="11"/>
  <c r="C35" i="11"/>
  <c r="C60" i="11"/>
  <c r="C34" i="11"/>
  <c r="C21" i="11"/>
  <c r="C16" i="11"/>
  <c r="F59" i="11"/>
  <c r="C11" i="11"/>
  <c r="F46" i="11"/>
  <c r="E46" i="11"/>
  <c r="C18" i="11"/>
  <c r="C14" i="11"/>
  <c r="F33" i="11"/>
  <c r="E33" i="11"/>
  <c r="C17" i="11"/>
  <c r="C13" i="11"/>
  <c r="C12" i="11"/>
  <c r="F20" i="11"/>
  <c r="E20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C71" i="10"/>
  <c r="C58" i="10"/>
  <c r="C45" i="10"/>
  <c r="C31" i="10"/>
  <c r="C32" i="10"/>
  <c r="C70" i="10"/>
  <c r="C57" i="10"/>
  <c r="C44" i="10"/>
  <c r="C69" i="10"/>
  <c r="C56" i="10"/>
  <c r="C43" i="10"/>
  <c r="C30" i="10"/>
  <c r="C16" i="10" s="1"/>
  <c r="C68" i="10"/>
  <c r="C55" i="10"/>
  <c r="C42" i="10"/>
  <c r="C29" i="10"/>
  <c r="C15" i="10" s="1"/>
  <c r="C67" i="10"/>
  <c r="C54" i="10"/>
  <c r="C41" i="10"/>
  <c r="C28" i="10"/>
  <c r="C14" i="10" s="1"/>
  <c r="C66" i="10"/>
  <c r="C53" i="10"/>
  <c r="C40" i="10"/>
  <c r="C27" i="10"/>
  <c r="C13" i="10" s="1"/>
  <c r="C65" i="10"/>
  <c r="C52" i="10"/>
  <c r="C39" i="10"/>
  <c r="C26" i="10"/>
  <c r="C64" i="10"/>
  <c r="C51" i="10"/>
  <c r="C38" i="10"/>
  <c r="C25" i="10"/>
  <c r="C11" i="10" s="1"/>
  <c r="C63" i="10"/>
  <c r="C50" i="10"/>
  <c r="C37" i="10"/>
  <c r="C24" i="10"/>
  <c r="C10" i="10" s="1"/>
  <c r="C62" i="10"/>
  <c r="C49" i="10"/>
  <c r="C36" i="10"/>
  <c r="C23" i="10"/>
  <c r="C61" i="10"/>
  <c r="C48" i="10"/>
  <c r="C35" i="10"/>
  <c r="C22" i="10"/>
  <c r="C8" i="10" s="1"/>
  <c r="C60" i="10"/>
  <c r="C47" i="10"/>
  <c r="C34" i="10"/>
  <c r="C21" i="10"/>
  <c r="C20" i="5" s="1"/>
  <c r="E15" i="10"/>
  <c r="E16" i="10"/>
  <c r="E17" i="10"/>
  <c r="E18" i="10"/>
  <c r="D15" i="10"/>
  <c r="D16" i="10"/>
  <c r="D17" i="10"/>
  <c r="D18" i="10"/>
  <c r="E59" i="10"/>
  <c r="D59" i="10"/>
  <c r="E46" i="10"/>
  <c r="D46" i="10"/>
  <c r="E33" i="10"/>
  <c r="D33" i="10"/>
  <c r="E20" i="10"/>
  <c r="D20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C6" i="14" l="1"/>
  <c r="D6" i="11"/>
  <c r="C59" i="11"/>
  <c r="C46" i="11"/>
  <c r="C7" i="11"/>
  <c r="C20" i="11"/>
  <c r="C17" i="10"/>
  <c r="D6" i="10"/>
  <c r="E6" i="11"/>
  <c r="C9" i="10"/>
  <c r="C18" i="10"/>
  <c r="E6" i="9"/>
  <c r="F6" i="11"/>
  <c r="E6" i="10"/>
  <c r="C12" i="10"/>
  <c r="C7" i="10"/>
  <c r="C6" i="10" s="1"/>
  <c r="C46" i="10"/>
  <c r="C33" i="10"/>
  <c r="C20" i="10"/>
  <c r="C33" i="11"/>
  <c r="C9" i="11"/>
  <c r="C8" i="11"/>
  <c r="C59" i="10"/>
  <c r="C31" i="9"/>
  <c r="C30" i="9"/>
  <c r="C29" i="9"/>
  <c r="C28" i="9"/>
  <c r="C27" i="9"/>
  <c r="C26" i="9"/>
  <c r="C25" i="9"/>
  <c r="C24" i="9"/>
  <c r="C23" i="9"/>
  <c r="C22" i="9"/>
  <c r="C21" i="9"/>
  <c r="C6" i="11" l="1"/>
  <c r="C19" i="9"/>
  <c r="E58" i="9"/>
  <c r="D58" i="9"/>
  <c r="E45" i="9"/>
  <c r="D45" i="9"/>
  <c r="E32" i="9"/>
  <c r="D32" i="9"/>
  <c r="C10" i="9"/>
  <c r="E19" i="9"/>
  <c r="D19" i="9"/>
  <c r="C18" i="9"/>
  <c r="C17" i="9"/>
  <c r="C16" i="9"/>
  <c r="C15" i="9"/>
  <c r="C14" i="9"/>
  <c r="C13" i="9"/>
  <c r="C12" i="9"/>
  <c r="C11" i="9"/>
  <c r="C9" i="9"/>
  <c r="C8" i="9"/>
  <c r="C7" i="9"/>
  <c r="C6" i="9" l="1"/>
  <c r="C70" i="8"/>
  <c r="C69" i="8"/>
  <c r="C68" i="8"/>
  <c r="C67" i="8"/>
  <c r="C66" i="8"/>
  <c r="C65" i="8"/>
  <c r="C64" i="8"/>
  <c r="C63" i="8"/>
  <c r="C62" i="8"/>
  <c r="C61" i="8"/>
  <c r="C60" i="8"/>
  <c r="C59" i="8"/>
  <c r="E58" i="8"/>
  <c r="D58" i="8"/>
  <c r="C57" i="8"/>
  <c r="C56" i="8"/>
  <c r="C55" i="8"/>
  <c r="C54" i="8"/>
  <c r="C53" i="8"/>
  <c r="C52" i="8"/>
  <c r="C51" i="8"/>
  <c r="C50" i="8"/>
  <c r="C49" i="8"/>
  <c r="C48" i="8"/>
  <c r="C47" i="8"/>
  <c r="C46" i="8"/>
  <c r="E45" i="8"/>
  <c r="D45" i="8"/>
  <c r="C44" i="8"/>
  <c r="C43" i="8"/>
  <c r="C42" i="8"/>
  <c r="C41" i="8"/>
  <c r="C40" i="8"/>
  <c r="C39" i="8"/>
  <c r="C38" i="8"/>
  <c r="C37" i="8"/>
  <c r="C36" i="8"/>
  <c r="C35" i="8"/>
  <c r="C34" i="8"/>
  <c r="C33" i="8"/>
  <c r="E32" i="8"/>
  <c r="D32" i="8"/>
  <c r="C31" i="8"/>
  <c r="C30" i="8"/>
  <c r="C29" i="8"/>
  <c r="C28" i="8"/>
  <c r="C27" i="8"/>
  <c r="C26" i="8"/>
  <c r="C25" i="8"/>
  <c r="C24" i="8"/>
  <c r="C23" i="8"/>
  <c r="C22" i="8"/>
  <c r="C21" i="8"/>
  <c r="C20" i="8"/>
  <c r="C7" i="8" s="1"/>
  <c r="E19" i="8"/>
  <c r="D19" i="8"/>
  <c r="C17" i="8" l="1"/>
  <c r="C14" i="8"/>
  <c r="C16" i="8"/>
  <c r="C15" i="8"/>
  <c r="C18" i="8"/>
  <c r="C10" i="8"/>
  <c r="C6" i="8" s="1"/>
  <c r="C8" i="8"/>
  <c r="C9" i="8"/>
  <c r="C11" i="8"/>
  <c r="C12" i="8"/>
  <c r="C13" i="8"/>
  <c r="D6" i="8"/>
  <c r="E6" i="8"/>
  <c r="C45" i="8"/>
  <c r="C32" i="8"/>
  <c r="C58" i="8"/>
  <c r="C19" i="8"/>
  <c r="C70" i="7" l="1"/>
  <c r="C69" i="7"/>
  <c r="C68" i="7"/>
  <c r="C67" i="7"/>
  <c r="C66" i="7"/>
  <c r="C65" i="7"/>
  <c r="C64" i="7"/>
  <c r="C63" i="7"/>
  <c r="C61" i="7"/>
  <c r="C60" i="7"/>
  <c r="C59" i="7"/>
  <c r="E58" i="7"/>
  <c r="D58" i="7"/>
  <c r="C57" i="7"/>
  <c r="C56" i="7"/>
  <c r="C55" i="7"/>
  <c r="C54" i="7"/>
  <c r="C53" i="7"/>
  <c r="C52" i="7"/>
  <c r="C51" i="7"/>
  <c r="C50" i="7"/>
  <c r="C48" i="7"/>
  <c r="C47" i="7"/>
  <c r="C46" i="7"/>
  <c r="E45" i="7"/>
  <c r="D45" i="7"/>
  <c r="C44" i="7"/>
  <c r="C43" i="7"/>
  <c r="C42" i="7"/>
  <c r="E41" i="7"/>
  <c r="E32" i="7" s="1"/>
  <c r="D41" i="7"/>
  <c r="D32" i="7" s="1"/>
  <c r="C41" i="7"/>
  <c r="C40" i="7"/>
  <c r="C39" i="7"/>
  <c r="C38" i="7"/>
  <c r="C37" i="7"/>
  <c r="C35" i="7"/>
  <c r="C34" i="7"/>
  <c r="C33" i="7"/>
  <c r="C31" i="7"/>
  <c r="C30" i="7"/>
  <c r="C29" i="7"/>
  <c r="E28" i="7"/>
  <c r="D28" i="7"/>
  <c r="C28" i="7"/>
  <c r="C27" i="7"/>
  <c r="C26" i="7"/>
  <c r="C25" i="7"/>
  <c r="C24" i="7"/>
  <c r="C22" i="7"/>
  <c r="C21" i="7"/>
  <c r="C20" i="7"/>
  <c r="C10" i="7"/>
  <c r="E7" i="7"/>
  <c r="D15" i="7" l="1"/>
  <c r="E19" i="7"/>
  <c r="E15" i="7"/>
  <c r="C9" i="7"/>
  <c r="D6" i="7"/>
  <c r="C18" i="7"/>
  <c r="D19" i="7"/>
  <c r="C11" i="7"/>
  <c r="C15" i="7"/>
  <c r="C32" i="7"/>
  <c r="C12" i="7"/>
  <c r="C16" i="7"/>
  <c r="C19" i="7"/>
  <c r="C14" i="7"/>
  <c r="C17" i="7"/>
  <c r="C8" i="7"/>
  <c r="C13" i="7"/>
  <c r="C7" i="7"/>
  <c r="C58" i="7"/>
  <c r="C45" i="7"/>
  <c r="E6" i="7"/>
  <c r="C6" i="7" l="1"/>
  <c r="C70" i="6"/>
  <c r="C69" i="6"/>
  <c r="C68" i="6"/>
  <c r="C67" i="6"/>
  <c r="C66" i="6"/>
  <c r="C65" i="6"/>
  <c r="C64" i="6"/>
  <c r="C63" i="6"/>
  <c r="C62" i="6"/>
  <c r="C61" i="6"/>
  <c r="C60" i="6"/>
  <c r="C59" i="6"/>
  <c r="E58" i="6"/>
  <c r="D58" i="6"/>
  <c r="C57" i="6"/>
  <c r="C56" i="6"/>
  <c r="C55" i="6"/>
  <c r="C54" i="6"/>
  <c r="C53" i="6"/>
  <c r="C52" i="6"/>
  <c r="C51" i="6"/>
  <c r="C50" i="6"/>
  <c r="C49" i="6"/>
  <c r="C48" i="6"/>
  <c r="C47" i="6"/>
  <c r="C46" i="6"/>
  <c r="E45" i="6"/>
  <c r="D45" i="6"/>
  <c r="C44" i="6"/>
  <c r="C43" i="6"/>
  <c r="C42" i="6"/>
  <c r="C41" i="6"/>
  <c r="C40" i="6"/>
  <c r="C39" i="6"/>
  <c r="C38" i="6"/>
  <c r="C37" i="6"/>
  <c r="C36" i="6"/>
  <c r="C35" i="6"/>
  <c r="C34" i="6"/>
  <c r="C33" i="6"/>
  <c r="E32" i="6"/>
  <c r="D32" i="6"/>
  <c r="C31" i="6"/>
  <c r="C30" i="6"/>
  <c r="C29" i="6"/>
  <c r="C28" i="6"/>
  <c r="C27" i="6"/>
  <c r="C26" i="6"/>
  <c r="C25" i="6"/>
  <c r="C24" i="6"/>
  <c r="C23" i="6"/>
  <c r="C22" i="6"/>
  <c r="C21" i="6"/>
  <c r="C20" i="6"/>
  <c r="E19" i="6"/>
  <c r="D19" i="6"/>
  <c r="C15" i="6" l="1"/>
  <c r="C16" i="6"/>
  <c r="C14" i="6"/>
  <c r="C18" i="6"/>
  <c r="C17" i="6"/>
  <c r="C7" i="6"/>
  <c r="C8" i="6"/>
  <c r="C11" i="6"/>
  <c r="C9" i="6"/>
  <c r="C10" i="6"/>
  <c r="C12" i="6"/>
  <c r="C13" i="6"/>
  <c r="D6" i="6"/>
  <c r="C32" i="6"/>
  <c r="C58" i="6"/>
  <c r="C19" i="6"/>
  <c r="C45" i="6"/>
  <c r="E6" i="6"/>
  <c r="C70" i="5"/>
  <c r="C69" i="5"/>
  <c r="C68" i="5"/>
  <c r="C67" i="5"/>
  <c r="C66" i="5"/>
  <c r="C65" i="5"/>
  <c r="C64" i="5"/>
  <c r="C63" i="5"/>
  <c r="C62" i="5"/>
  <c r="C61" i="5"/>
  <c r="C60" i="5"/>
  <c r="C59" i="5"/>
  <c r="E58" i="5"/>
  <c r="D58" i="5"/>
  <c r="C57" i="5"/>
  <c r="C56" i="5"/>
  <c r="C55" i="5"/>
  <c r="C54" i="5"/>
  <c r="C53" i="5"/>
  <c r="C52" i="5"/>
  <c r="C51" i="5"/>
  <c r="C50" i="5"/>
  <c r="C49" i="5"/>
  <c r="C48" i="5"/>
  <c r="C47" i="5"/>
  <c r="C46" i="5"/>
  <c r="E45" i="5"/>
  <c r="D45" i="5"/>
  <c r="C44" i="5"/>
  <c r="C43" i="5"/>
  <c r="C42" i="5"/>
  <c r="C41" i="5"/>
  <c r="C40" i="5"/>
  <c r="C39" i="5"/>
  <c r="C38" i="5"/>
  <c r="C37" i="5"/>
  <c r="C36" i="5"/>
  <c r="C35" i="5"/>
  <c r="C34" i="5"/>
  <c r="C33" i="5"/>
  <c r="C7" i="5" s="1"/>
  <c r="E32" i="5"/>
  <c r="D32" i="5"/>
  <c r="C31" i="5"/>
  <c r="C30" i="5"/>
  <c r="C29" i="5"/>
  <c r="C28" i="5"/>
  <c r="C27" i="5"/>
  <c r="C26" i="5"/>
  <c r="C25" i="5"/>
  <c r="C24" i="5"/>
  <c r="C23" i="5"/>
  <c r="C22" i="5"/>
  <c r="C21" i="5"/>
  <c r="E19" i="5"/>
  <c r="D19" i="5"/>
  <c r="E17" i="5"/>
  <c r="E16" i="5"/>
  <c r="E15" i="5"/>
  <c r="E14" i="5"/>
  <c r="E13" i="5"/>
  <c r="E12" i="5"/>
  <c r="E11" i="5"/>
  <c r="E10" i="5"/>
  <c r="E9" i="5"/>
  <c r="E8" i="5"/>
  <c r="C14" i="5" l="1"/>
  <c r="C15" i="5"/>
  <c r="C16" i="5"/>
  <c r="C17" i="5"/>
  <c r="C18" i="5"/>
  <c r="C8" i="5"/>
  <c r="C11" i="5"/>
  <c r="C9" i="5"/>
  <c r="C10" i="5"/>
  <c r="C6" i="5" s="1"/>
  <c r="C12" i="5"/>
  <c r="C13" i="5"/>
  <c r="C6" i="6"/>
  <c r="C19" i="5"/>
  <c r="C32" i="5"/>
  <c r="C45" i="5"/>
  <c r="C58" i="5"/>
  <c r="E6" i="5"/>
  <c r="C70" i="4" l="1"/>
  <c r="C69" i="4"/>
  <c r="C68" i="4"/>
  <c r="C67" i="4"/>
  <c r="C66" i="4"/>
  <c r="C65" i="4"/>
  <c r="C64" i="4"/>
  <c r="C63" i="4"/>
  <c r="C62" i="4"/>
  <c r="C61" i="4"/>
  <c r="C60" i="4"/>
  <c r="C59" i="4"/>
  <c r="E58" i="4"/>
  <c r="D58" i="4"/>
  <c r="C57" i="4"/>
  <c r="C56" i="4"/>
  <c r="C55" i="4"/>
  <c r="C54" i="4"/>
  <c r="C53" i="4"/>
  <c r="C52" i="4"/>
  <c r="C51" i="4"/>
  <c r="C50" i="4"/>
  <c r="C49" i="4"/>
  <c r="C48" i="4"/>
  <c r="C47" i="4"/>
  <c r="C46" i="4"/>
  <c r="E45" i="4"/>
  <c r="D45" i="4"/>
  <c r="C44" i="4"/>
  <c r="C43" i="4"/>
  <c r="C42" i="4"/>
  <c r="C41" i="4"/>
  <c r="C40" i="4"/>
  <c r="C39" i="4"/>
  <c r="C38" i="4"/>
  <c r="C37" i="4"/>
  <c r="C36" i="4"/>
  <c r="C35" i="4"/>
  <c r="C34" i="4"/>
  <c r="C33" i="4"/>
  <c r="E32" i="4"/>
  <c r="D32" i="4"/>
  <c r="C31" i="4"/>
  <c r="C30" i="4"/>
  <c r="C29" i="4"/>
  <c r="C28" i="4"/>
  <c r="C27" i="4"/>
  <c r="C26" i="4"/>
  <c r="C25" i="4"/>
  <c r="C24" i="4"/>
  <c r="C23" i="4"/>
  <c r="C22" i="4"/>
  <c r="C21" i="4"/>
  <c r="C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C12" i="4" l="1"/>
  <c r="C14" i="4"/>
  <c r="C10" i="4"/>
  <c r="C18" i="4"/>
  <c r="C8" i="4"/>
  <c r="C17" i="4"/>
  <c r="C13" i="4"/>
  <c r="D6" i="4"/>
  <c r="C19" i="4"/>
  <c r="C32" i="4"/>
  <c r="C11" i="4"/>
  <c r="C15" i="4"/>
  <c r="E6" i="4"/>
  <c r="C16" i="4"/>
  <c r="C9" i="4"/>
  <c r="C58" i="4"/>
  <c r="C45" i="4"/>
  <c r="C7" i="4"/>
  <c r="C6" i="4" l="1"/>
  <c r="C70" i="2"/>
  <c r="C69" i="2"/>
  <c r="C68" i="2"/>
  <c r="C67" i="2"/>
  <c r="C66" i="2"/>
  <c r="C65" i="2"/>
  <c r="C64" i="2"/>
  <c r="C63" i="2"/>
  <c r="C62" i="2"/>
  <c r="C61" i="2"/>
  <c r="C60" i="2"/>
  <c r="C59" i="2"/>
  <c r="E58" i="2"/>
  <c r="D58" i="2"/>
  <c r="C57" i="2"/>
  <c r="C56" i="2"/>
  <c r="C55" i="2"/>
  <c r="C54" i="2"/>
  <c r="C53" i="2"/>
  <c r="C52" i="2"/>
  <c r="C51" i="2"/>
  <c r="C50" i="2"/>
  <c r="C49" i="2"/>
  <c r="C48" i="2"/>
  <c r="C47" i="2"/>
  <c r="C46" i="2"/>
  <c r="E45" i="2"/>
  <c r="D45" i="2"/>
  <c r="C44" i="2"/>
  <c r="C43" i="2"/>
  <c r="C42" i="2"/>
  <c r="C41" i="2"/>
  <c r="C40" i="2"/>
  <c r="C39" i="2"/>
  <c r="C38" i="2"/>
  <c r="C37" i="2"/>
  <c r="C36" i="2"/>
  <c r="C35" i="2"/>
  <c r="C34" i="2"/>
  <c r="C33" i="2"/>
  <c r="E32" i="2"/>
  <c r="D32" i="2"/>
  <c r="C31" i="2"/>
  <c r="C30" i="2"/>
  <c r="C29" i="2"/>
  <c r="C28" i="2"/>
  <c r="C27" i="2"/>
  <c r="C26" i="2"/>
  <c r="C25" i="2"/>
  <c r="C24" i="2"/>
  <c r="C23" i="2"/>
  <c r="C22" i="2"/>
  <c r="C21" i="2"/>
  <c r="C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C9" i="2" l="1"/>
  <c r="C17" i="2"/>
  <c r="C13" i="2"/>
  <c r="C58" i="2"/>
  <c r="C32" i="2"/>
  <c r="C15" i="2"/>
  <c r="C11" i="2"/>
  <c r="E6" i="2"/>
  <c r="C14" i="2"/>
  <c r="D6" i="2"/>
  <c r="C45" i="2"/>
  <c r="C7" i="2"/>
  <c r="C10" i="2"/>
  <c r="C18" i="2"/>
  <c r="C19" i="2"/>
  <c r="C8" i="2"/>
  <c r="C12" i="2"/>
  <c r="C16" i="2"/>
  <c r="C6" i="2" l="1"/>
  <c r="C70" i="1"/>
  <c r="C69" i="1"/>
  <c r="C68" i="1"/>
  <c r="C67" i="1"/>
  <c r="C66" i="1"/>
  <c r="C65" i="1"/>
  <c r="C64" i="1"/>
  <c r="C63" i="1"/>
  <c r="C62" i="1"/>
  <c r="C61" i="1"/>
  <c r="C60" i="1"/>
  <c r="C59" i="1"/>
  <c r="E58" i="1"/>
  <c r="D58" i="1"/>
  <c r="C57" i="1"/>
  <c r="C56" i="1"/>
  <c r="C55" i="1"/>
  <c r="C54" i="1"/>
  <c r="C53" i="1"/>
  <c r="C52" i="1"/>
  <c r="C51" i="1"/>
  <c r="C50" i="1"/>
  <c r="C49" i="1"/>
  <c r="C48" i="1"/>
  <c r="C47" i="1"/>
  <c r="C46" i="1"/>
  <c r="E45" i="1"/>
  <c r="D45" i="1"/>
  <c r="C44" i="1"/>
  <c r="C43" i="1"/>
  <c r="C42" i="1"/>
  <c r="C41" i="1"/>
  <c r="C40" i="1"/>
  <c r="C39" i="1"/>
  <c r="C38" i="1"/>
  <c r="C37" i="1"/>
  <c r="C36" i="1"/>
  <c r="C35" i="1"/>
  <c r="C34" i="1"/>
  <c r="C33" i="1"/>
  <c r="E32" i="1"/>
  <c r="D32" i="1"/>
  <c r="C31" i="1"/>
  <c r="C30" i="1"/>
  <c r="C29" i="1"/>
  <c r="C28" i="1"/>
  <c r="C27" i="1"/>
  <c r="C26" i="1"/>
  <c r="C25" i="1"/>
  <c r="C24" i="1"/>
  <c r="C23" i="1"/>
  <c r="C22" i="1"/>
  <c r="C21" i="1"/>
  <c r="C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 l="1"/>
  <c r="C15" i="1"/>
  <c r="C7" i="1"/>
  <c r="C11" i="1"/>
  <c r="C9" i="1"/>
  <c r="C13" i="1"/>
  <c r="C17" i="1"/>
  <c r="C8" i="1"/>
  <c r="C12" i="1"/>
  <c r="C16" i="1"/>
  <c r="D6" i="1"/>
  <c r="C19" i="1"/>
  <c r="C32" i="1"/>
  <c r="C58" i="1"/>
  <c r="C10" i="1"/>
  <c r="C14" i="1"/>
  <c r="C18" i="1"/>
  <c r="C45" i="1"/>
  <c r="C6" i="1" l="1"/>
</calcChain>
</file>

<file path=xl/sharedStrings.xml><?xml version="1.0" encoding="utf-8"?>
<sst xmlns="http://schemas.openxmlformats.org/spreadsheetml/2006/main" count="1118" uniqueCount="74">
  <si>
    <t>Gerencia técnica</t>
  </si>
  <si>
    <t xml:space="preserve">    Mes</t>
  </si>
  <si>
    <t>Santo Domingo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</si>
  <si>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</si>
  <si>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</si>
  <si>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</si>
  <si>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</si>
  <si>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</si>
  <si>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</si>
  <si>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</si>
  <si>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</si>
  <si>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</si>
  <si>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</si>
  <si>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</si>
  <si>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</si>
  <si>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</si>
  <si>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Santo Domingo Suroeste</t>
  </si>
  <si>
    <t>Santo Dominho Noroeste</t>
  </si>
  <si>
    <t>Santo Domingo      Este</t>
  </si>
  <si>
    <t>Santo Domingo   Norte</t>
  </si>
  <si>
    <t>Santo Domingo Noroeste</t>
  </si>
  <si>
    <t>m³ por día: Metro cúbico por día</t>
  </si>
  <si>
    <t>Promedio total</t>
  </si>
  <si>
    <t>Fuente: Registros administrativos, Informe estadístico mensual, Departamento de Planificación, Corporación de Acueducto y Alcantarillado de Santo Domingo, CAASD</t>
  </si>
  <si>
    <t>m³  por día: Metro cúbico por día</t>
  </si>
  <si>
    <r>
      <rPr>
        <vertAlign val="superscript"/>
        <sz val="7"/>
        <rFont val="Roboto"/>
      </rPr>
      <t>2</t>
    </r>
    <r>
      <rPr>
        <sz val="7"/>
        <rFont val="Roboto"/>
      </rPr>
      <t>: Usuarios, número de viviendas a las que se le facturan los servicios</t>
    </r>
  </si>
  <si>
    <r>
      <rPr>
        <vertAlign val="superscript"/>
        <sz val="7"/>
        <rFont val="Roboto"/>
      </rPr>
      <t>3</t>
    </r>
    <r>
      <rPr>
        <sz val="7"/>
        <rFont val="Roboto"/>
      </rPr>
      <t>: Usuarios, 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</si>
  <si>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:Total promedio simple de los valores mensuales</t>
    </r>
  </si>
  <si>
    <r>
      <t>Promedio total</t>
    </r>
    <r>
      <rPr>
        <b/>
        <vertAlign val="superscript"/>
        <sz val="9"/>
        <rFont val="Roboto"/>
      </rPr>
      <t>4</t>
    </r>
  </si>
  <si>
    <r>
      <t>Producción de agua potable por la CAASD</t>
    </r>
    <r>
      <rPr>
        <b/>
        <vertAlign val="superscript"/>
        <sz val="9"/>
        <rFont val="Roboto"/>
      </rPr>
      <t>1</t>
    </r>
  </si>
  <si>
    <r>
      <t>Promedio mensual de usuarios agua potable</t>
    </r>
    <r>
      <rPr>
        <b/>
        <vertAlign val="superscript"/>
        <sz val="9"/>
        <rFont val="Roboto"/>
      </rPr>
      <t>2</t>
    </r>
  </si>
  <si>
    <r>
      <t>Promedio mensual de usuarios de alcantarillado</t>
    </r>
    <r>
      <rPr>
        <b/>
        <vertAlign val="superscript"/>
        <sz val="9"/>
        <rFont val="Roboto"/>
      </rPr>
      <t>3</t>
    </r>
  </si>
  <si>
    <r>
      <t>m</t>
    </r>
    <r>
      <rPr>
        <b/>
        <vertAlign val="superscript"/>
        <sz val="9"/>
        <rFont val="Roboto"/>
      </rPr>
      <t>3</t>
    </r>
    <r>
      <rPr>
        <b/>
        <sz val="9"/>
        <rFont val="Roboto"/>
      </rPr>
      <t xml:space="preserve"> por día</t>
    </r>
  </si>
  <si>
    <r>
      <rPr>
        <vertAlign val="superscript"/>
        <sz val="7"/>
        <rFont val="Roboto"/>
      </rPr>
      <t>2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</si>
  <si>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: Total promedio simple de los valores mensuales</t>
    </r>
  </si>
  <si>
    <r>
      <rPr>
        <vertAlign val="superscript"/>
        <sz val="7"/>
        <rFont val="Roboto"/>
      </rPr>
      <t>2</t>
    </r>
    <r>
      <rPr>
        <sz val="7"/>
        <rFont val="Roboto"/>
      </rPr>
      <t>:  Usuarios número de viviendas a las que se le facturan los servicios</t>
    </r>
  </si>
  <si>
    <r>
      <rPr>
        <vertAlign val="superscript"/>
        <sz val="7"/>
        <rFont val="Roboto"/>
      </rPr>
      <t>3</t>
    </r>
    <r>
      <rPr>
        <sz val="7"/>
        <rFont val="Roboto"/>
      </rPr>
      <t>:  Usuarios 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</si>
  <si>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: Total, promedio simple de los valores mensuales</t>
    </r>
  </si>
  <si>
    <r>
      <rPr>
        <vertAlign val="superscript"/>
        <sz val="7"/>
        <rFont val="Roboto"/>
      </rPr>
      <t>3</t>
    </r>
    <r>
      <rPr>
        <sz val="7"/>
        <rFont val="Roboto"/>
      </rPr>
      <t>: Usuarios número de viviendas a las que se le facturan los servicios</t>
    </r>
  </si>
  <si>
    <r>
      <rPr>
        <vertAlign val="superscript"/>
        <sz val="7"/>
        <rFont val="Roboto"/>
      </rPr>
      <t>2</t>
    </r>
    <r>
      <rPr>
        <sz val="7"/>
        <rFont val="Roboto"/>
      </rPr>
      <t>: Número de viviendas a las que se le facturan los servicios</t>
    </r>
  </si>
  <si>
    <r>
      <rPr>
        <vertAlign val="superscript"/>
        <sz val="7"/>
        <rFont val="Roboto"/>
      </rPr>
      <t>3</t>
    </r>
    <r>
      <rPr>
        <sz val="7"/>
        <rFont val="Roboto"/>
      </rPr>
      <t>: Número de viviendas a las que se le facturan los servicios</t>
    </r>
  </si>
  <si>
    <r>
      <t>Índice de potabilidad</t>
    </r>
    <r>
      <rPr>
        <b/>
        <vertAlign val="superscript"/>
        <sz val="9"/>
        <rFont val="Roboto"/>
      </rPr>
      <t>2</t>
    </r>
  </si>
  <si>
    <r>
      <t>Promedio mensual de usuarios agua potable</t>
    </r>
    <r>
      <rPr>
        <b/>
        <vertAlign val="superscript"/>
        <sz val="9"/>
        <rFont val="Roboto"/>
      </rPr>
      <t>3</t>
    </r>
  </si>
  <si>
    <r>
      <t>Promedio mensual de usuarios de alcantarillado</t>
    </r>
    <r>
      <rPr>
        <b/>
        <vertAlign val="superscript"/>
        <sz val="9"/>
        <rFont val="Roboto"/>
      </rPr>
      <t>4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</si>
  <si>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2021*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</si>
  <si>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2020*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</si>
  <si>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2019*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</si>
  <si>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2018*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</si>
  <si>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2017*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</si>
  <si>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2016*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</si>
  <si>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Los datos proporcionados por la CAASD vienen dados en Millones de Galones Diarios (MGD), para convertirlos a m</t>
    </r>
    <r>
      <rPr>
        <vertAlign val="superscript"/>
        <sz val="7"/>
        <rFont val="Roboto"/>
      </rPr>
      <t>3</t>
    </r>
    <r>
      <rPr>
        <sz val="7"/>
        <rFont val="Roboto"/>
      </rPr>
      <t xml:space="preserve"> se utilizó la fórmula M3/D = (MGD/264.18) x 1000000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</si>
  <si>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Los datos proporcionados por la CAASD vienen dados en Millones de Galones Diarios (MGD), para convertirlos a M3 se utilizó la fórmula M3/D = (MGD/264.18) x 1000000</t>
    </r>
  </si>
  <si>
    <t>Santo Domingo Este</t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</si>
  <si>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potable, índice de potabilidad  y número de clientes activos  de la CAASD por gerencia técnica, según mes, 2022*</t>
    </r>
  </si>
  <si>
    <r>
      <t>Promedio</t>
    </r>
    <r>
      <rPr>
        <b/>
        <vertAlign val="superscript"/>
        <sz val="9"/>
        <rFont val="Roboto"/>
      </rPr>
      <t>5</t>
    </r>
  </si>
  <si>
    <r>
      <t>Promedio</t>
    </r>
    <r>
      <rPr>
        <b/>
        <vertAlign val="superscript"/>
        <sz val="9"/>
        <rFont val="Roboto"/>
      </rPr>
      <t>4</t>
    </r>
  </si>
  <si>
    <t>La CAASD mejoró sus sistemas de información, ampliando la cobertura de los usuarios y otras variables para el año 2022.</t>
  </si>
  <si>
    <r>
      <t xml:space="preserve">Nota:  </t>
    </r>
    <r>
      <rPr>
        <vertAlign val="superscript"/>
        <sz val="7"/>
        <rFont val="Roboto"/>
      </rPr>
      <t>1</t>
    </r>
    <r>
      <rPr>
        <sz val="7"/>
        <rFont val="Roboto"/>
      </rPr>
      <t>Los datos proporcionados por la CAASD vienen dados en Millones de Galones Diarios (MGD), para convertirlos a m</t>
    </r>
    <r>
      <rPr>
        <vertAlign val="superscript"/>
        <sz val="7"/>
        <rFont val="Roboto"/>
      </rPr>
      <t>3</t>
    </r>
    <r>
      <rPr>
        <sz val="7"/>
        <rFont val="Roboto"/>
      </rPr>
      <t xml:space="preserve"> se utilizó la fórmula M3/D = (MGD/264.18) x 1000000</t>
    </r>
  </si>
  <si>
    <r>
      <rPr>
        <vertAlign val="superscript"/>
        <sz val="7"/>
        <rFont val="Roboto"/>
      </rPr>
      <t>2</t>
    </r>
    <r>
      <rPr>
        <sz val="7"/>
        <rFont val="Roboto"/>
      </rPr>
      <t>El índice de potabilidad (Negatividad de Coliformes Totales) se calcula sobre la base del número de tubos positivos (no representa el promedio).</t>
    </r>
  </si>
  <si>
    <r>
      <rPr>
        <vertAlign val="superscript"/>
        <sz val="7"/>
        <rFont val="Roboto"/>
      </rPr>
      <t>3</t>
    </r>
    <r>
      <rPr>
        <sz val="7"/>
        <rFont val="Roboto"/>
      </rPr>
      <t>Número de viviendas a las que se le facturan los servicios</t>
    </r>
  </si>
  <si>
    <r>
      <rPr>
        <vertAlign val="superscript"/>
        <sz val="7"/>
        <rFont val="Roboto"/>
      </rPr>
      <t>4</t>
    </r>
    <r>
      <rPr>
        <sz val="7"/>
        <rFont val="Roboto"/>
      </rPr>
      <t>Número de viviendas a las que se le facturan los servicios</t>
    </r>
  </si>
  <si>
    <r>
      <rPr>
        <vertAlign val="superscript"/>
        <sz val="7"/>
        <rFont val="Roboto"/>
      </rPr>
      <t>5</t>
    </r>
    <r>
      <rPr>
        <sz val="7"/>
        <rFont val="Roboto"/>
      </rPr>
      <t>Total promedio simple de los valores mensuales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</si>
  <si>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potable, índice de potabilidad  y número de clientes activos  de la CAASD por gerencia técnica, según mes, 2023*</t>
    </r>
  </si>
  <si>
    <t xml:space="preserve">*Cifras sujetas a rectificación </t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</si>
  <si>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 de producción de agua potable  y número de clientes activos  de la CAASD por  gerencia técnica, según mes, 2013*</t>
    </r>
  </si>
  <si>
    <r>
      <rPr>
        <b/>
        <sz val="9"/>
        <rFont val="Roboto"/>
      </rPr>
      <t xml:space="preserve">Cuadro 3.2 </t>
    </r>
    <r>
      <rPr>
        <sz val="9"/>
        <rFont val="Roboto"/>
      </rPr>
      <t>REPÚBLICA DOMINICANA: Total de producción de agua potable  y número de clientes activos  de la CAASD por gerencia técnica, según mes, 2014*</t>
    </r>
  </si>
  <si>
    <t>Fuente: Registros administrativos, Informe estadístico mensual, Departamento de Planificación, Corporación de Acueducto y Alcantarillado de Santo Domingo, (CAASD)</t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</si>
  <si>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  y número de clientes activos  de la CAASD por gerencia técnica, según mes, 2015*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</si>
  <si>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Los datos proporcionados por la CAASD vienen dados en Millones de Galones Diarios (MGD), para convertirlos a m</t>
    </r>
    <r>
      <rPr>
        <vertAlign val="superscript"/>
        <sz val="7"/>
        <rFont val="Roboto"/>
      </rPr>
      <t>3</t>
    </r>
    <r>
      <rPr>
        <sz val="7"/>
        <rFont val="Roboto"/>
      </rPr>
      <t xml:space="preserve"> se utilizó la fórmula M3/D = (MGD/264.18) x 1000000</t>
    </r>
  </si>
  <si>
    <t xml:space="preserve"> </t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</si>
  <si>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potable, índice de potabilidad  y número de clientes activos  de la CAASD según gerencia técnica y mes, 2024*</t>
    </r>
  </si>
  <si>
    <r>
      <rPr>
        <b/>
        <sz val="9"/>
        <rFont val="Roboto"/>
      </rPr>
      <t>Cuadro 3.2</t>
    </r>
    <r>
      <rPr>
        <sz val="9"/>
        <rFont val="Roboto"/>
      </rPr>
      <t xml:space="preserve"> REPÚBLICA DOMINICANA: Total de producción de agua potable, índice de potabilidad  y número de clientes activos  de la CAASD según gerencia técnica y mes, 2025*</t>
    </r>
  </si>
  <si>
    <t>n/d</t>
  </si>
  <si>
    <t xml:space="preserve">Lo datos de clientes del mes enero no estan disponibles. Los datos de clientes de Alcantarillado de los meses febrero y marzo están sujetos a cambio, pendiente de revisión y actualización al 3-12-25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</si>
</sst>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sz val="11"/>
      <color theme="1"/>
      <name val="Roboto"/>
    </font>
    <font>
      <sz val="10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name val="Roboto"/>
    </font>
    <font>
      <b/>
      <vertAlign val="superscript"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justify" wrapText="1" indent="1"/>
    </xf>
    <xf numFmtId="3" fontId="3" fillId="2" borderId="0" xfId="2" applyNumberFormat="1" applyFont="1" applyFill="1" applyBorder="1" applyAlignment="1" applyProtection="1">
      <alignment horizontal="center" vertical="justify" wrapText="1"/>
    </xf>
    <xf numFmtId="4" fontId="3" fillId="2" borderId="0" xfId="1" applyNumberFormat="1" applyFont="1" applyFill="1" applyAlignment="1">
      <alignment horizontal="center" vertical="justify" wrapText="1"/>
    </xf>
    <xf numFmtId="0" fontId="3" fillId="2" borderId="2" xfId="0" applyFont="1" applyFill="1" applyBorder="1" applyAlignment="1">
      <alignment horizontal="left" vertical="justify" wrapText="1" indent="1"/>
    </xf>
    <xf numFmtId="0" fontId="8" fillId="2" borderId="0" xfId="0" applyFont="1" applyFill="1"/>
    <xf numFmtId="0" fontId="3" fillId="2" borderId="2" xfId="0" applyFont="1" applyFill="1" applyBorder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 inden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1" applyFont="1" applyFill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justify" wrapText="1" indent="1"/>
    </xf>
    <xf numFmtId="3" fontId="3" fillId="3" borderId="0" xfId="2" applyNumberFormat="1" applyFont="1" applyFill="1" applyBorder="1" applyAlignment="1" applyProtection="1">
      <alignment horizontal="center" vertical="justify" wrapText="1"/>
    </xf>
    <xf numFmtId="0" fontId="5" fillId="3" borderId="0" xfId="0" applyFont="1" applyFill="1"/>
    <xf numFmtId="4" fontId="3" fillId="3" borderId="0" xfId="1" applyNumberFormat="1" applyFont="1" applyFill="1" applyAlignment="1">
      <alignment horizontal="center" vertical="justify" wrapText="1"/>
    </xf>
    <xf numFmtId="0" fontId="5" fillId="3" borderId="2" xfId="0" applyFont="1" applyFill="1" applyBorder="1"/>
    <xf numFmtId="0" fontId="3" fillId="3" borderId="2" xfId="0" applyFont="1" applyFill="1" applyBorder="1" applyAlignment="1">
      <alignment horizontal="left" vertical="justify" wrapText="1" inden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justify" wrapText="1" indent="1"/>
    </xf>
    <xf numFmtId="0" fontId="9" fillId="3" borderId="0" xfId="0" applyFont="1" applyFill="1" applyAlignment="1">
      <alignment horizontal="left" vertical="justify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 indent="1"/>
    </xf>
    <xf numFmtId="0" fontId="3" fillId="3" borderId="2" xfId="0" applyFont="1" applyFill="1" applyBorder="1"/>
    <xf numFmtId="3" fontId="3" fillId="3" borderId="0" xfId="1" applyNumberFormat="1" applyFont="1" applyFill="1" applyAlignment="1">
      <alignment horizontal="center" vertical="justify" wrapText="1"/>
    </xf>
    <xf numFmtId="0" fontId="9" fillId="3" borderId="0" xfId="0" applyFont="1" applyFill="1" applyAlignment="1">
      <alignment horizontal="left" vertical="top" wrapText="1" inden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center"/>
    </xf>
    <xf numFmtId="0" fontId="9" fillId="3" borderId="0" xfId="0" applyFont="1" applyFill="1" applyAlignment="1">
      <alignment vertical="justify" wrapText="1"/>
    </xf>
    <xf numFmtId="3" fontId="9" fillId="3" borderId="0" xfId="1" applyNumberFormat="1" applyFont="1" applyFill="1" applyAlignment="1">
      <alignment horizontal="right" vertical="justify" wrapText="1"/>
    </xf>
    <xf numFmtId="4" fontId="3" fillId="3" borderId="0" xfId="1" applyNumberFormat="1" applyFont="1" applyFill="1" applyAlignment="1">
      <alignment horizontal="right" vertical="justify" wrapText="1"/>
    </xf>
    <xf numFmtId="3" fontId="3" fillId="3" borderId="0" xfId="1" applyNumberFormat="1" applyFont="1" applyFill="1" applyAlignment="1">
      <alignment horizontal="right" vertical="justify" wrapText="1"/>
    </xf>
    <xf numFmtId="3" fontId="3" fillId="3" borderId="0" xfId="2" applyNumberFormat="1" applyFont="1" applyFill="1" applyBorder="1" applyAlignment="1" applyProtection="1">
      <alignment horizontal="right" vertical="justify" wrapText="1"/>
    </xf>
    <xf numFmtId="3" fontId="3" fillId="3" borderId="2" xfId="1" applyNumberFormat="1" applyFont="1" applyFill="1" applyBorder="1" applyAlignment="1">
      <alignment horizontal="right" vertical="justify" wrapText="1"/>
    </xf>
    <xf numFmtId="3" fontId="3" fillId="3" borderId="2" xfId="2" applyNumberFormat="1" applyFont="1" applyFill="1" applyBorder="1" applyAlignment="1" applyProtection="1">
      <alignment horizontal="right" vertical="justify" wrapText="1"/>
    </xf>
    <xf numFmtId="0" fontId="6" fillId="2" borderId="0" xfId="0" applyFont="1" applyFill="1"/>
    <xf numFmtId="0" fontId="6" fillId="3" borderId="0" xfId="0" applyFont="1" applyFill="1"/>
    <xf numFmtId="3" fontId="9" fillId="3" borderId="0" xfId="1" applyNumberFormat="1" applyFont="1" applyFill="1" applyAlignment="1">
      <alignment horizontal="right" vertical="center" wrapText="1"/>
    </xf>
    <xf numFmtId="164" fontId="9" fillId="3" borderId="0" xfId="1" applyNumberFormat="1" applyFont="1" applyFill="1" applyAlignment="1">
      <alignment horizontal="right" vertical="center" wrapText="1"/>
    </xf>
    <xf numFmtId="164" fontId="3" fillId="3" borderId="0" xfId="1" applyNumberFormat="1" applyFont="1" applyFill="1" applyAlignment="1">
      <alignment horizontal="right" vertical="justify" wrapText="1"/>
    </xf>
    <xf numFmtId="164" fontId="3" fillId="3" borderId="2" xfId="1" applyNumberFormat="1" applyFont="1" applyFill="1" applyBorder="1" applyAlignment="1">
      <alignment horizontal="right" vertical="justify" wrapText="1"/>
    </xf>
    <xf numFmtId="164" fontId="9" fillId="3" borderId="0" xfId="1" applyNumberFormat="1" applyFont="1" applyFill="1" applyAlignment="1">
      <alignment horizontal="right" vertical="justify" wrapText="1"/>
    </xf>
    <xf numFmtId="164" fontId="9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164" fontId="9" fillId="2" borderId="0" xfId="1" applyNumberFormat="1" applyFont="1" applyFill="1" applyAlignment="1">
      <alignment horizontal="right" vertical="justify" wrapText="1"/>
    </xf>
    <xf numFmtId="3" fontId="9" fillId="2" borderId="0" xfId="1" applyNumberFormat="1" applyFont="1" applyFill="1" applyAlignment="1">
      <alignment horizontal="right" vertical="justify" wrapText="1"/>
    </xf>
    <xf numFmtId="164" fontId="3" fillId="2" borderId="0" xfId="1" applyNumberFormat="1" applyFont="1" applyFill="1" applyAlignment="1">
      <alignment horizontal="right" vertical="justify" wrapText="1"/>
    </xf>
    <xf numFmtId="3" fontId="3" fillId="2" borderId="0" xfId="2" applyNumberFormat="1" applyFont="1" applyFill="1" applyBorder="1" applyAlignment="1" applyProtection="1">
      <alignment horizontal="right" vertical="justify" wrapText="1"/>
    </xf>
    <xf numFmtId="164" fontId="3" fillId="2" borderId="2" xfId="1" applyNumberFormat="1" applyFont="1" applyFill="1" applyBorder="1" applyAlignment="1">
      <alignment horizontal="right" vertical="justify" wrapText="1"/>
    </xf>
    <xf numFmtId="3" fontId="3" fillId="2" borderId="2" xfId="2" applyNumberFormat="1" applyFont="1" applyFill="1" applyBorder="1" applyAlignment="1" applyProtection="1">
      <alignment horizontal="right" vertical="justify" wrapText="1"/>
    </xf>
    <xf numFmtId="3" fontId="3" fillId="3" borderId="0" xfId="1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justify" wrapText="1" indent="1"/>
    </xf>
    <xf numFmtId="3" fontId="6" fillId="3" borderId="0" xfId="1" applyNumberFormat="1" applyFont="1" applyFill="1" applyAlignment="1">
      <alignment horizontal="right" vertical="justify" wrapText="1"/>
    </xf>
    <xf numFmtId="4" fontId="6" fillId="3" borderId="0" xfId="1" applyNumberFormat="1" applyFont="1" applyFill="1" applyAlignment="1">
      <alignment horizontal="right" vertical="justify" wrapText="1"/>
    </xf>
    <xf numFmtId="3" fontId="6" fillId="3" borderId="0" xfId="2" applyNumberFormat="1" applyFont="1" applyFill="1" applyBorder="1" applyAlignment="1" applyProtection="1">
      <alignment horizontal="right" vertical="justify" wrapText="1"/>
    </xf>
    <xf numFmtId="3" fontId="8" fillId="2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2" xfId="0" applyFont="1" applyFill="1" applyBorder="1" applyAlignment="1">
      <alignment vertical="top" wrapText="1"/>
    </xf>
    <xf numFmtId="0" fontId="3" fillId="2" borderId="0" xfId="1" applyFont="1" applyFill="1" applyAlignment="1">
      <alignment horizont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3" fillId="3" borderId="0" xfId="1" applyFont="1" applyFill="1" applyAlignment="1">
      <alignment horizont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wrapText="1"/>
    </xf>
    <xf numFmtId="20" fontId="6" fillId="3" borderId="0" xfId="1" applyNumberFormat="1" applyFont="1" applyFill="1" applyAlignment="1">
      <alignment horizontal="left" vertical="center" wrapText="1"/>
    </xf>
  </cellXfs>
  <cellStyles count="3">
    <cellStyle name="Normal" xfId="0" builtinId="0"/>
    <cellStyle name="Normal_Agua Caasd RDC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142875</xdr:rowOff>
    </xdr:from>
    <xdr:to>
      <xdr:col>5</xdr:col>
      <xdr:colOff>619125</xdr:colOff>
      <xdr:row>1</xdr:row>
      <xdr:rowOff>304800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C7C59F1-6606-4171-B933-837EEEF0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42875"/>
          <a:ext cx="4381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28576</xdr:rowOff>
    </xdr:from>
    <xdr:to>
      <xdr:col>6</xdr:col>
      <xdr:colOff>561975</xdr:colOff>
      <xdr:row>1</xdr:row>
      <xdr:rowOff>295276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1750745-B02E-4164-A014-FA16571B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80976"/>
          <a:ext cx="438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133351</xdr:rowOff>
    </xdr:from>
    <xdr:to>
      <xdr:col>6</xdr:col>
      <xdr:colOff>457200</xdr:colOff>
      <xdr:row>1</xdr:row>
      <xdr:rowOff>247651</xdr:rowOff>
    </xdr:to>
    <xdr:pic>
      <xdr:nvPicPr>
        <xdr:cNvPr id="3" name="Imagen 2" descr="cid:image001.png@01D33CF7.2C6D8500">
          <a:extLst>
            <a:ext uri="{FF2B5EF4-FFF2-40B4-BE49-F238E27FC236}">
              <a16:creationId xmlns:a16="http://schemas.microsoft.com/office/drawing/2014/main" id="{A86D71E9-3FCC-4827-BE0D-88055642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3351"/>
          <a:ext cx="438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28575</xdr:rowOff>
    </xdr:from>
    <xdr:to>
      <xdr:col>6</xdr:col>
      <xdr:colOff>533400</xdr:colOff>
      <xdr:row>2</xdr:row>
      <xdr:rowOff>9525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663713CB-561F-4819-A3C2-4C58F91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80975"/>
          <a:ext cx="4381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28575</xdr:rowOff>
    </xdr:from>
    <xdr:to>
      <xdr:col>6</xdr:col>
      <xdr:colOff>533400</xdr:colOff>
      <xdr:row>2</xdr:row>
      <xdr:rowOff>9525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50CE11C-2863-4865-82E9-526B8A98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82880"/>
          <a:ext cx="4343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57150</xdr:rowOff>
    </xdr:from>
    <xdr:to>
      <xdr:col>5</xdr:col>
      <xdr:colOff>438150</xdr:colOff>
      <xdr:row>1</xdr:row>
      <xdr:rowOff>257175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9EB5E669-B1D8-4F14-A542-D84C21A2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95275"/>
          <a:ext cx="438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1</xdr:row>
      <xdr:rowOff>57150</xdr:rowOff>
    </xdr:from>
    <xdr:to>
      <xdr:col>5</xdr:col>
      <xdr:colOff>400050</xdr:colOff>
      <xdr:row>1</xdr:row>
      <xdr:rowOff>257175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9C947C0D-1DCF-47C0-AD1F-6CBE9CC0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95275"/>
          <a:ext cx="438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438150</xdr:colOff>
      <xdr:row>1</xdr:row>
      <xdr:rowOff>200025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CC951AB3-388B-4FEE-BADF-DD919D36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38125"/>
          <a:ext cx="438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19050</xdr:rowOff>
    </xdr:from>
    <xdr:to>
      <xdr:col>5</xdr:col>
      <xdr:colOff>523875</xdr:colOff>
      <xdr:row>1</xdr:row>
      <xdr:rowOff>276225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45426E04-F0BB-45C5-A66A-8935FE82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28600"/>
          <a:ext cx="4381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142875</xdr:rowOff>
    </xdr:from>
    <xdr:to>
      <xdr:col>5</xdr:col>
      <xdr:colOff>571500</xdr:colOff>
      <xdr:row>1</xdr:row>
      <xdr:rowOff>209550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5FE5C489-BD1F-497E-8E52-5AEE2167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42875"/>
          <a:ext cx="4381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</xdr:row>
      <xdr:rowOff>19051</xdr:rowOff>
    </xdr:from>
    <xdr:to>
      <xdr:col>5</xdr:col>
      <xdr:colOff>561975</xdr:colOff>
      <xdr:row>1</xdr:row>
      <xdr:rowOff>304801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27034117-8E83-45A3-A9BD-D323140D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09551"/>
          <a:ext cx="4381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</xdr:row>
      <xdr:rowOff>0</xdr:rowOff>
    </xdr:from>
    <xdr:to>
      <xdr:col>5</xdr:col>
      <xdr:colOff>542925</xdr:colOff>
      <xdr:row>1</xdr:row>
      <xdr:rowOff>247650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AB2F8570-47D7-4254-B04C-FFF6E6FE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0500"/>
          <a:ext cx="4381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38100</xdr:rowOff>
    </xdr:from>
    <xdr:to>
      <xdr:col>5</xdr:col>
      <xdr:colOff>457200</xdr:colOff>
      <xdr:row>1</xdr:row>
      <xdr:rowOff>304800</xdr:rowOff>
    </xdr:to>
    <xdr:pic>
      <xdr:nvPicPr>
        <xdr:cNvPr id="2" name="Imagen 1" descr="cid:image001.png@01D33CF7.2C6D8500">
          <a:extLst>
            <a:ext uri="{FF2B5EF4-FFF2-40B4-BE49-F238E27FC236}">
              <a16:creationId xmlns:a16="http://schemas.microsoft.com/office/drawing/2014/main" id="{7809F2D8-BA27-4B12-B18C-03CFD2257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90500"/>
          <a:ext cx="438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workbookViewId="0">
      <selection activeCell="A77" sqref="A77:E77"/>
    </sheetView>
  </sheetViews>
  <sheetFormatPr baseColWidth="10" defaultColWidth="11.42578125" defaultRowHeight="12" x14ac:dyDescent="0.2"/>
  <cols>
    <col min="1" max="1" width="16.85546875" style="9" customWidth="1"/>
    <col min="2" max="2" width="13.85546875" style="9" customWidth="1"/>
    <col min="3" max="5" width="22" style="9" customWidth="1"/>
    <col min="6" max="16384" width="11.42578125" style="9"/>
  </cols>
  <sheetData>
    <row r="1" spans="1:10" x14ac:dyDescent="0.2">
      <c r="A1" s="69"/>
      <c r="B1" s="69"/>
      <c r="C1" s="69"/>
      <c r="D1" s="69"/>
      <c r="E1" s="69"/>
    </row>
    <row r="2" spans="1:10" ht="27.75" customHeight="1" x14ac:dyDescent="0.2">
      <c r="A2" s="73" t="s">
        <v>64</v>
      </c>
      <c r="B2" s="73"/>
      <c r="C2" s="73"/>
      <c r="D2" s="73"/>
      <c r="E2" s="73"/>
      <c r="F2" s="2"/>
      <c r="G2" s="2"/>
      <c r="H2" s="2"/>
      <c r="I2" s="2"/>
      <c r="J2" s="2"/>
    </row>
    <row r="3" spans="1:10" x14ac:dyDescent="0.2">
      <c r="A3" s="2"/>
      <c r="B3" s="3"/>
      <c r="C3" s="4"/>
      <c r="D3" s="2"/>
      <c r="E3" s="2"/>
    </row>
    <row r="4" spans="1:10" ht="26.25" x14ac:dyDescent="0.2">
      <c r="A4" s="70" t="s">
        <v>0</v>
      </c>
      <c r="B4" s="70" t="s">
        <v>1</v>
      </c>
      <c r="C4" s="15" t="s">
        <v>29</v>
      </c>
      <c r="D4" s="15" t="s">
        <v>30</v>
      </c>
      <c r="E4" s="15" t="s">
        <v>31</v>
      </c>
    </row>
    <row r="5" spans="1:10" ht="14.25" x14ac:dyDescent="0.2">
      <c r="A5" s="71"/>
      <c r="B5" s="71"/>
      <c r="C5" s="16" t="s">
        <v>32</v>
      </c>
      <c r="D5" s="16"/>
      <c r="E5" s="16"/>
    </row>
    <row r="6" spans="1:10" s="11" customFormat="1" ht="26.25" customHeight="1" x14ac:dyDescent="0.25">
      <c r="A6" s="13" t="s">
        <v>2</v>
      </c>
      <c r="B6" s="13" t="s">
        <v>55</v>
      </c>
      <c r="C6" s="53">
        <f>AVERAGE(C7:C18)</f>
        <v>1374645.0914149445</v>
      </c>
      <c r="D6" s="54">
        <f t="shared" ref="D6:E6" si="0">AVERAGE(D7:D18)</f>
        <v>364230.41666666669</v>
      </c>
      <c r="E6" s="54">
        <f t="shared" si="0"/>
        <v>91074.416666666672</v>
      </c>
    </row>
    <row r="7" spans="1:10" x14ac:dyDescent="0.2">
      <c r="A7" s="2"/>
      <c r="B7" s="5" t="s">
        <v>4</v>
      </c>
      <c r="C7" s="55">
        <f t="shared" ref="C7:E18" si="1">C20+C33+C46+C59</f>
        <v>1521310.7426754485</v>
      </c>
      <c r="D7" s="56">
        <f t="shared" si="1"/>
        <v>367359</v>
      </c>
      <c r="E7" s="56">
        <f t="shared" si="1"/>
        <v>88299</v>
      </c>
    </row>
    <row r="8" spans="1:10" x14ac:dyDescent="0.2">
      <c r="A8" s="2"/>
      <c r="B8" s="5" t="s">
        <v>5</v>
      </c>
      <c r="C8" s="55">
        <f t="shared" si="1"/>
        <v>1457251.5481868424</v>
      </c>
      <c r="D8" s="56">
        <f t="shared" si="1"/>
        <v>368025</v>
      </c>
      <c r="E8" s="56">
        <f t="shared" si="1"/>
        <v>88518</v>
      </c>
    </row>
    <row r="9" spans="1:10" x14ac:dyDescent="0.2">
      <c r="A9" s="2"/>
      <c r="B9" s="5" t="s">
        <v>6</v>
      </c>
      <c r="C9" s="55">
        <f t="shared" si="1"/>
        <v>1377034.8474524945</v>
      </c>
      <c r="D9" s="56">
        <f t="shared" si="1"/>
        <v>368337</v>
      </c>
      <c r="E9" s="56">
        <f t="shared" si="1"/>
        <v>88522</v>
      </c>
    </row>
    <row r="10" spans="1:10" x14ac:dyDescent="0.2">
      <c r="A10" s="2"/>
      <c r="B10" s="5" t="s">
        <v>7</v>
      </c>
      <c r="C10" s="55">
        <f t="shared" si="1"/>
        <v>1384588.030888031</v>
      </c>
      <c r="D10" s="56">
        <f t="shared" si="1"/>
        <v>368586</v>
      </c>
      <c r="E10" s="56">
        <f t="shared" si="1"/>
        <v>88528</v>
      </c>
    </row>
    <row r="11" spans="1:10" x14ac:dyDescent="0.2">
      <c r="A11" s="2"/>
      <c r="B11" s="5" t="s">
        <v>8</v>
      </c>
      <c r="C11" s="55">
        <f t="shared" si="1"/>
        <v>1351864.5620410326</v>
      </c>
      <c r="D11" s="56">
        <f t="shared" si="1"/>
        <v>368513</v>
      </c>
      <c r="E11" s="56">
        <f t="shared" si="1"/>
        <v>88503</v>
      </c>
    </row>
    <row r="12" spans="1:10" x14ac:dyDescent="0.2">
      <c r="A12" s="2"/>
      <c r="B12" s="5" t="s">
        <v>9</v>
      </c>
      <c r="C12" s="55">
        <f t="shared" si="1"/>
        <v>1349341.6117798472</v>
      </c>
      <c r="D12" s="56">
        <f t="shared" si="1"/>
        <v>368013</v>
      </c>
      <c r="E12" s="56">
        <f t="shared" si="1"/>
        <v>88502</v>
      </c>
    </row>
    <row r="13" spans="1:10" x14ac:dyDescent="0.2">
      <c r="A13" s="2"/>
      <c r="B13" s="5" t="s">
        <v>10</v>
      </c>
      <c r="C13" s="55">
        <f t="shared" si="1"/>
        <v>1334994.344764933</v>
      </c>
      <c r="D13" s="56">
        <f t="shared" si="1"/>
        <v>368116</v>
      </c>
      <c r="E13" s="56">
        <f t="shared" si="1"/>
        <v>88525</v>
      </c>
    </row>
    <row r="14" spans="1:10" x14ac:dyDescent="0.2">
      <c r="A14" s="2"/>
      <c r="B14" s="5" t="s">
        <v>11</v>
      </c>
      <c r="C14" s="55">
        <f t="shared" si="1"/>
        <v>1367715.0692709514</v>
      </c>
      <c r="D14" s="56">
        <f t="shared" si="1"/>
        <v>368167</v>
      </c>
      <c r="E14" s="56">
        <f t="shared" si="1"/>
        <v>88524</v>
      </c>
    </row>
    <row r="15" spans="1:10" x14ac:dyDescent="0.2">
      <c r="A15" s="2"/>
      <c r="B15" s="5" t="s">
        <v>12</v>
      </c>
      <c r="C15" s="55">
        <f t="shared" si="1"/>
        <v>1396489.6434249375</v>
      </c>
      <c r="D15" s="56">
        <f t="shared" si="1"/>
        <v>355988</v>
      </c>
      <c r="E15" s="56">
        <f t="shared" si="1"/>
        <v>87791</v>
      </c>
    </row>
    <row r="16" spans="1:10" x14ac:dyDescent="0.2">
      <c r="A16" s="2"/>
      <c r="B16" s="5" t="s">
        <v>13</v>
      </c>
      <c r="C16" s="55">
        <f t="shared" si="1"/>
        <v>1346066.3449163449</v>
      </c>
      <c r="D16" s="56">
        <f t="shared" si="1"/>
        <v>356196</v>
      </c>
      <c r="E16" s="56">
        <f t="shared" si="1"/>
        <v>88010</v>
      </c>
    </row>
    <row r="17" spans="1:5" x14ac:dyDescent="0.2">
      <c r="A17" s="2"/>
      <c r="B17" s="5" t="s">
        <v>14</v>
      </c>
      <c r="C17" s="55">
        <f t="shared" si="1"/>
        <v>1305012.2265122265</v>
      </c>
      <c r="D17" s="56">
        <f t="shared" si="1"/>
        <v>356600</v>
      </c>
      <c r="E17" s="56">
        <f t="shared" si="1"/>
        <v>103319</v>
      </c>
    </row>
    <row r="18" spans="1:5" x14ac:dyDescent="0.2">
      <c r="A18" s="2"/>
      <c r="B18" s="5" t="s">
        <v>15</v>
      </c>
      <c r="C18" s="55">
        <f t="shared" si="1"/>
        <v>1304072.1250662426</v>
      </c>
      <c r="D18" s="56">
        <f t="shared" si="1"/>
        <v>356865</v>
      </c>
      <c r="E18" s="56">
        <f t="shared" si="1"/>
        <v>105852</v>
      </c>
    </row>
    <row r="19" spans="1:5" s="12" customFormat="1" ht="22.5" customHeight="1" x14ac:dyDescent="0.25">
      <c r="A19" s="14" t="s">
        <v>16</v>
      </c>
      <c r="B19" s="14" t="s">
        <v>3</v>
      </c>
      <c r="C19" s="53">
        <f>AVERAGE(C20:C31)</f>
        <v>458131.69524566579</v>
      </c>
      <c r="D19" s="54">
        <f t="shared" ref="D19:E19" si="2">AVERAGE(D20:D31)</f>
        <v>98135.583333333328</v>
      </c>
      <c r="E19" s="54">
        <f t="shared" si="2"/>
        <v>41065.25</v>
      </c>
    </row>
    <row r="20" spans="1:5" x14ac:dyDescent="0.2">
      <c r="A20" s="2"/>
      <c r="B20" s="5" t="s">
        <v>4</v>
      </c>
      <c r="C20" s="57">
        <f>(127.965397/264.18)*1000000</f>
        <v>484387.14891361946</v>
      </c>
      <c r="D20" s="58">
        <v>98121</v>
      </c>
      <c r="E20" s="58">
        <v>41079</v>
      </c>
    </row>
    <row r="21" spans="1:5" x14ac:dyDescent="0.2">
      <c r="A21" s="2"/>
      <c r="B21" s="5" t="s">
        <v>5</v>
      </c>
      <c r="C21" s="57">
        <f>(124.948675/264.18)*1000000</f>
        <v>472967.95745325153</v>
      </c>
      <c r="D21" s="58">
        <v>98110</v>
      </c>
      <c r="E21" s="58">
        <v>41070</v>
      </c>
    </row>
    <row r="22" spans="1:5" x14ac:dyDescent="0.2">
      <c r="A22" s="2"/>
      <c r="B22" s="5" t="s">
        <v>6</v>
      </c>
      <c r="C22" s="57">
        <f>(117.520826/264.18)*1000000</f>
        <v>444851.3362101597</v>
      </c>
      <c r="D22" s="58">
        <v>98100</v>
      </c>
      <c r="E22" s="58">
        <v>41072</v>
      </c>
    </row>
    <row r="23" spans="1:5" x14ac:dyDescent="0.2">
      <c r="A23" s="2"/>
      <c r="B23" s="5" t="s">
        <v>7</v>
      </c>
      <c r="C23" s="57">
        <f>(115.008913/264.18)*1000000</f>
        <v>435342.9971988796</v>
      </c>
      <c r="D23" s="58">
        <v>98080</v>
      </c>
      <c r="E23" s="58">
        <v>41066</v>
      </c>
    </row>
    <row r="24" spans="1:5" x14ac:dyDescent="0.2">
      <c r="A24" s="2"/>
      <c r="B24" s="5" t="s">
        <v>8</v>
      </c>
      <c r="C24" s="57">
        <f>(114.459232/264.18)*1000000</f>
        <v>433262.29086229083</v>
      </c>
      <c r="D24" s="58">
        <v>98070</v>
      </c>
      <c r="E24" s="58">
        <v>41064</v>
      </c>
    </row>
    <row r="25" spans="1:5" x14ac:dyDescent="0.2">
      <c r="A25" s="2"/>
      <c r="B25" s="5" t="s">
        <v>9</v>
      </c>
      <c r="C25" s="57">
        <f>(114.935567/264.18)*1000000</f>
        <v>435065.36073889019</v>
      </c>
      <c r="D25" s="58">
        <v>98074</v>
      </c>
      <c r="E25" s="58">
        <v>41060</v>
      </c>
    </row>
    <row r="26" spans="1:5" x14ac:dyDescent="0.2">
      <c r="A26" s="2"/>
      <c r="B26" s="5" t="s">
        <v>10</v>
      </c>
      <c r="C26" s="57">
        <f>(114.025832/264.18)*1000000</f>
        <v>431621.74275115452</v>
      </c>
      <c r="D26" s="58">
        <v>98076</v>
      </c>
      <c r="E26" s="58">
        <v>41063</v>
      </c>
    </row>
    <row r="27" spans="1:5" x14ac:dyDescent="0.2">
      <c r="A27" s="2"/>
      <c r="B27" s="5" t="s">
        <v>11</v>
      </c>
      <c r="C27" s="57">
        <f>(114.765445/264.18)*1000000</f>
        <v>434421.39828904538</v>
      </c>
      <c r="D27" s="58">
        <v>98077</v>
      </c>
      <c r="E27" s="58">
        <v>41061</v>
      </c>
    </row>
    <row r="28" spans="1:5" x14ac:dyDescent="0.2">
      <c r="A28" s="2"/>
      <c r="B28" s="5" t="s">
        <v>12</v>
      </c>
      <c r="C28" s="57">
        <f>(136.03228/264.18)*1000000</f>
        <v>514922.70421682188</v>
      </c>
      <c r="D28" s="58">
        <v>98079</v>
      </c>
      <c r="E28" s="58">
        <v>41060</v>
      </c>
    </row>
    <row r="29" spans="1:5" x14ac:dyDescent="0.2">
      <c r="A29" s="2"/>
      <c r="B29" s="5" t="s">
        <v>13</v>
      </c>
      <c r="C29" s="57">
        <f>(130.303247/264.18)*1000000</f>
        <v>493236.60761601932</v>
      </c>
      <c r="D29" s="58">
        <v>98293</v>
      </c>
      <c r="E29" s="58">
        <v>41068</v>
      </c>
    </row>
    <row r="30" spans="1:5" x14ac:dyDescent="0.2">
      <c r="A30" s="2"/>
      <c r="B30" s="5" t="s">
        <v>14</v>
      </c>
      <c r="C30" s="57">
        <f>(119.273627/264.18)*1000000</f>
        <v>451486.21015973954</v>
      </c>
      <c r="D30" s="58">
        <v>98271</v>
      </c>
      <c r="E30" s="58">
        <v>41059</v>
      </c>
    </row>
    <row r="31" spans="1:5" x14ac:dyDescent="0.2">
      <c r="A31" s="2"/>
      <c r="B31" s="5" t="s">
        <v>15</v>
      </c>
      <c r="C31" s="57">
        <f>(123.111734/264.18)*1000000</f>
        <v>466014.58853811794</v>
      </c>
      <c r="D31" s="58">
        <v>98276</v>
      </c>
      <c r="E31" s="58">
        <v>41061</v>
      </c>
    </row>
    <row r="32" spans="1:5" s="11" customFormat="1" ht="25.5" customHeight="1" x14ac:dyDescent="0.25">
      <c r="A32" s="14" t="s">
        <v>17</v>
      </c>
      <c r="B32" s="14" t="s">
        <v>3</v>
      </c>
      <c r="C32" s="53">
        <f>AVERAGE(C33:C44)</f>
        <v>351791.3259898554</v>
      </c>
      <c r="D32" s="54">
        <f t="shared" ref="D32:E32" si="3">AVERAGE(D33:D44)</f>
        <v>107847.16666666667</v>
      </c>
      <c r="E32" s="54">
        <f t="shared" si="3"/>
        <v>41499.666666666664</v>
      </c>
    </row>
    <row r="33" spans="1:5" x14ac:dyDescent="0.2">
      <c r="A33" s="2"/>
      <c r="B33" s="5" t="s">
        <v>4</v>
      </c>
      <c r="C33" s="57">
        <f>(104.430032/264.18)*1000000</f>
        <v>395298.78113407525</v>
      </c>
      <c r="D33" s="58">
        <v>107794</v>
      </c>
      <c r="E33" s="58">
        <v>41212</v>
      </c>
    </row>
    <row r="34" spans="1:5" x14ac:dyDescent="0.2">
      <c r="A34" s="2"/>
      <c r="B34" s="5" t="s">
        <v>5</v>
      </c>
      <c r="C34" s="57">
        <f>(95.408219/264.18)*1000000</f>
        <v>361148.53130441363</v>
      </c>
      <c r="D34" s="58">
        <v>108193</v>
      </c>
      <c r="E34" s="58">
        <v>41440</v>
      </c>
    </row>
    <row r="35" spans="1:5" x14ac:dyDescent="0.2">
      <c r="A35" s="2"/>
      <c r="B35" s="5" t="s">
        <v>6</v>
      </c>
      <c r="C35" s="57">
        <f>(86.929483/264.18)*1000000</f>
        <v>329053.9897039897</v>
      </c>
      <c r="D35" s="58">
        <v>108197</v>
      </c>
      <c r="E35" s="58">
        <v>41443</v>
      </c>
    </row>
    <row r="36" spans="1:5" x14ac:dyDescent="0.2">
      <c r="A36" s="2"/>
      <c r="B36" s="5" t="s">
        <v>7</v>
      </c>
      <c r="C36" s="57">
        <f>(87.358901/264.18)*1000000</f>
        <v>330679.46475887654</v>
      </c>
      <c r="D36" s="58">
        <v>108213</v>
      </c>
      <c r="E36" s="58">
        <v>41455</v>
      </c>
    </row>
    <row r="37" spans="1:5" x14ac:dyDescent="0.2">
      <c r="A37" s="2"/>
      <c r="B37" s="5" t="s">
        <v>8</v>
      </c>
      <c r="C37" s="57">
        <f>(92.018455/264.18)*1000000</f>
        <v>348317.26474373532</v>
      </c>
      <c r="D37" s="58">
        <v>108071</v>
      </c>
      <c r="E37" s="58">
        <v>41434</v>
      </c>
    </row>
    <row r="38" spans="1:5" x14ac:dyDescent="0.2">
      <c r="A38" s="2"/>
      <c r="B38" s="5" t="s">
        <v>9</v>
      </c>
      <c r="C38" s="57">
        <f>(94.156773/264.18)*1000000</f>
        <v>356411.4353849648</v>
      </c>
      <c r="D38" s="58">
        <v>107465</v>
      </c>
      <c r="E38" s="58">
        <v>41438</v>
      </c>
    </row>
    <row r="39" spans="1:5" x14ac:dyDescent="0.2">
      <c r="A39" s="2"/>
      <c r="B39" s="5" t="s">
        <v>10</v>
      </c>
      <c r="C39" s="57">
        <f>(93.814293/264.18)*1000000</f>
        <v>355115.04655916418</v>
      </c>
      <c r="D39" s="58">
        <v>107509</v>
      </c>
      <c r="E39" s="58">
        <v>41458</v>
      </c>
    </row>
    <row r="40" spans="1:5" x14ac:dyDescent="0.2">
      <c r="A40" s="2"/>
      <c r="B40" s="5" t="s">
        <v>11</v>
      </c>
      <c r="C40" s="57">
        <f>(96.720738/264.18)*1000000</f>
        <v>366116.80672268901</v>
      </c>
      <c r="D40" s="58">
        <v>107543</v>
      </c>
      <c r="E40" s="58">
        <v>41459</v>
      </c>
    </row>
    <row r="41" spans="1:5" x14ac:dyDescent="0.2">
      <c r="A41" s="2"/>
      <c r="B41" s="5" t="s">
        <v>12</v>
      </c>
      <c r="C41" s="57">
        <f>(97.454908/264.18)*1000000</f>
        <v>368895.85888409422</v>
      </c>
      <c r="D41" s="58">
        <v>107532</v>
      </c>
      <c r="E41" s="58">
        <v>41442</v>
      </c>
    </row>
    <row r="42" spans="1:5" x14ac:dyDescent="0.2">
      <c r="A42" s="2"/>
      <c r="B42" s="5" t="s">
        <v>13</v>
      </c>
      <c r="C42" s="57">
        <f>(90.890003/264.18)*1000000</f>
        <v>344045.73775456124</v>
      </c>
      <c r="D42" s="58">
        <v>107518</v>
      </c>
      <c r="E42" s="58">
        <v>41419</v>
      </c>
    </row>
    <row r="43" spans="1:5" x14ac:dyDescent="0.2">
      <c r="A43" s="2"/>
      <c r="B43" s="5" t="s">
        <v>14</v>
      </c>
      <c r="C43" s="57">
        <f>(89.075329/264.18)*1000000</f>
        <v>337176.65606783255</v>
      </c>
      <c r="D43" s="58">
        <v>107934</v>
      </c>
      <c r="E43" s="58">
        <v>41783</v>
      </c>
    </row>
    <row r="44" spans="1:5" x14ac:dyDescent="0.2">
      <c r="A44" s="2"/>
      <c r="B44" s="5" t="s">
        <v>15</v>
      </c>
      <c r="C44" s="57">
        <f>(86.977656/264.18)*1000000</f>
        <v>329236.33885986824</v>
      </c>
      <c r="D44" s="58">
        <v>108197</v>
      </c>
      <c r="E44" s="58">
        <v>42013</v>
      </c>
    </row>
    <row r="45" spans="1:5" s="11" customFormat="1" ht="21.75" customHeight="1" x14ac:dyDescent="0.25">
      <c r="A45" s="14" t="s">
        <v>52</v>
      </c>
      <c r="B45" s="14" t="s">
        <v>3</v>
      </c>
      <c r="C45" s="53">
        <f>AVERAGE(C46:C57)</f>
        <v>482160.87673808268</v>
      </c>
      <c r="D45" s="54">
        <f t="shared" ref="D45:E45" si="4">AVERAGE(D46:D57)</f>
        <v>121789.5</v>
      </c>
      <c r="E45" s="54">
        <f t="shared" si="4"/>
        <v>7684.916666666667</v>
      </c>
    </row>
    <row r="46" spans="1:5" ht="12" customHeight="1" x14ac:dyDescent="0.2">
      <c r="A46" s="2"/>
      <c r="B46" s="5" t="s">
        <v>4</v>
      </c>
      <c r="C46" s="57">
        <f>(147.192839/264.18)*1000000</f>
        <v>557168.74479521543</v>
      </c>
      <c r="D46" s="58">
        <v>125122</v>
      </c>
      <c r="E46" s="58">
        <v>5793</v>
      </c>
    </row>
    <row r="47" spans="1:5" x14ac:dyDescent="0.2">
      <c r="A47" s="2"/>
      <c r="B47" s="5" t="s">
        <v>5</v>
      </c>
      <c r="C47" s="57">
        <f>(140.766393/264.18)*1000000</f>
        <v>532842.73222802638</v>
      </c>
      <c r="D47" s="58">
        <v>125400</v>
      </c>
      <c r="E47" s="58">
        <v>5793</v>
      </c>
    </row>
    <row r="48" spans="1:5" x14ac:dyDescent="0.2">
      <c r="A48" s="2"/>
      <c r="B48" s="5" t="s">
        <v>6</v>
      </c>
      <c r="C48" s="57">
        <f>(136.682194/264.18)*1000000</f>
        <v>517382.82231811649</v>
      </c>
      <c r="D48" s="58">
        <v>125715</v>
      </c>
      <c r="E48" s="58">
        <v>5792</v>
      </c>
    </row>
    <row r="49" spans="1:5" x14ac:dyDescent="0.2">
      <c r="A49" s="2"/>
      <c r="B49" s="5" t="s">
        <v>7</v>
      </c>
      <c r="C49" s="57">
        <f>(142.0181/264.18)*1000000</f>
        <v>537580.81611022796</v>
      </c>
      <c r="D49" s="58">
        <v>125807</v>
      </c>
      <c r="E49" s="58">
        <v>5792</v>
      </c>
    </row>
    <row r="50" spans="1:5" x14ac:dyDescent="0.2">
      <c r="A50" s="2"/>
      <c r="B50" s="5" t="s">
        <v>8</v>
      </c>
      <c r="C50" s="57">
        <f>(128.767419/264.18)*1000000</f>
        <v>487423.04110833519</v>
      </c>
      <c r="D50" s="58">
        <v>125842</v>
      </c>
      <c r="E50" s="58">
        <v>5790</v>
      </c>
    </row>
    <row r="51" spans="1:5" x14ac:dyDescent="0.2">
      <c r="A51" s="2"/>
      <c r="B51" s="5" t="s">
        <v>9</v>
      </c>
      <c r="C51" s="57">
        <f>(125.717/264.18)*1000000</f>
        <v>475876.29646453174</v>
      </c>
      <c r="D51" s="58">
        <v>125981</v>
      </c>
      <c r="E51" s="58">
        <v>5789</v>
      </c>
    </row>
    <row r="52" spans="1:5" x14ac:dyDescent="0.2">
      <c r="A52" s="2"/>
      <c r="B52" s="5" t="s">
        <v>10</v>
      </c>
      <c r="C52" s="57">
        <f>(123.836871/264.18)*1000000</f>
        <v>468759.44810356572</v>
      </c>
      <c r="D52" s="58">
        <v>126028</v>
      </c>
      <c r="E52" s="58">
        <v>5789</v>
      </c>
    </row>
    <row r="53" spans="1:5" x14ac:dyDescent="0.2">
      <c r="A53" s="2"/>
      <c r="B53" s="5" t="s">
        <v>11</v>
      </c>
      <c r="C53" s="57">
        <f>(129.417258/264.18)*1000000</f>
        <v>489882.87531228707</v>
      </c>
      <c r="D53" s="58">
        <v>126040</v>
      </c>
      <c r="E53" s="58">
        <v>5789</v>
      </c>
    </row>
    <row r="54" spans="1:5" x14ac:dyDescent="0.2">
      <c r="A54" s="2"/>
      <c r="B54" s="5" t="s">
        <v>12</v>
      </c>
      <c r="C54" s="57">
        <f>(115.716167/264.18)*1000000</f>
        <v>438020.16428192897</v>
      </c>
      <c r="D54" s="58">
        <v>113874</v>
      </c>
      <c r="E54" s="58">
        <v>5074</v>
      </c>
    </row>
    <row r="55" spans="1:5" x14ac:dyDescent="0.2">
      <c r="A55" s="2"/>
      <c r="B55" s="5" t="s">
        <v>13</v>
      </c>
      <c r="C55" s="57">
        <f>(112.683226/264.18)*1000000</f>
        <v>426539.57907487324</v>
      </c>
      <c r="D55" s="58">
        <v>113883</v>
      </c>
      <c r="E55" s="58">
        <v>5308</v>
      </c>
    </row>
    <row r="56" spans="1:5" x14ac:dyDescent="0.2">
      <c r="A56" s="2"/>
      <c r="B56" s="5" t="s">
        <v>14</v>
      </c>
      <c r="C56" s="57">
        <f>(114.0474/264.18)*1000000</f>
        <v>431703.38405632519</v>
      </c>
      <c r="D56" s="58">
        <v>113893</v>
      </c>
      <c r="E56" s="58">
        <v>17060</v>
      </c>
    </row>
    <row r="57" spans="1:5" x14ac:dyDescent="0.2">
      <c r="A57" s="2"/>
      <c r="B57" s="5" t="s">
        <v>15</v>
      </c>
      <c r="C57" s="57">
        <f>(111.682258/264.18)*1000000</f>
        <v>422750.6170035582</v>
      </c>
      <c r="D57" s="58">
        <v>113889</v>
      </c>
      <c r="E57" s="58">
        <v>18450</v>
      </c>
    </row>
    <row r="58" spans="1:5" s="11" customFormat="1" ht="24.75" customHeight="1" x14ac:dyDescent="0.25">
      <c r="A58" s="14" t="s">
        <v>19</v>
      </c>
      <c r="B58" s="14" t="s">
        <v>3</v>
      </c>
      <c r="C58" s="53">
        <f>AVERAGE(C59:C70)</f>
        <v>82561.193441340482</v>
      </c>
      <c r="D58" s="54">
        <f t="shared" ref="D58:E58" si="5">AVERAGE(D59:D70)</f>
        <v>36458.166666666664</v>
      </c>
      <c r="E58" s="54">
        <f t="shared" si="5"/>
        <v>824.58333333333337</v>
      </c>
    </row>
    <row r="59" spans="1:5" x14ac:dyDescent="0.2">
      <c r="A59" s="2"/>
      <c r="B59" s="5" t="s">
        <v>4</v>
      </c>
      <c r="C59" s="57">
        <f>(22.311604/264.18)*1000000</f>
        <v>84456.067832538407</v>
      </c>
      <c r="D59" s="58">
        <v>36322</v>
      </c>
      <c r="E59" s="58">
        <v>215</v>
      </c>
    </row>
    <row r="60" spans="1:5" x14ac:dyDescent="0.2">
      <c r="A60" s="2"/>
      <c r="B60" s="5" t="s">
        <v>5</v>
      </c>
      <c r="C60" s="57">
        <f>(23.853427/264.18)*1000000</f>
        <v>90292.327201150722</v>
      </c>
      <c r="D60" s="58">
        <v>36322</v>
      </c>
      <c r="E60" s="58">
        <v>215</v>
      </c>
    </row>
    <row r="61" spans="1:5" x14ac:dyDescent="0.2">
      <c r="A61" s="2"/>
      <c r="B61" s="5" t="s">
        <v>6</v>
      </c>
      <c r="C61" s="57">
        <f>(22.652563/264.18)*1000000</f>
        <v>85746.699220228635</v>
      </c>
      <c r="D61" s="58">
        <v>36325</v>
      </c>
      <c r="E61" s="58">
        <v>215</v>
      </c>
    </row>
    <row r="62" spans="1:5" x14ac:dyDescent="0.2">
      <c r="A62" s="2"/>
      <c r="B62" s="5" t="s">
        <v>7</v>
      </c>
      <c r="C62" s="57">
        <f>(21.394552/264.18)*1000000</f>
        <v>80984.752820046939</v>
      </c>
      <c r="D62" s="58">
        <v>36486</v>
      </c>
      <c r="E62" s="58">
        <v>215</v>
      </c>
    </row>
    <row r="63" spans="1:5" x14ac:dyDescent="0.2">
      <c r="A63" s="2"/>
      <c r="B63" s="5" t="s">
        <v>8</v>
      </c>
      <c r="C63" s="57">
        <f>(21.890474/264.18)*1000000</f>
        <v>82861.965326671212</v>
      </c>
      <c r="D63" s="58">
        <v>36530</v>
      </c>
      <c r="E63" s="58">
        <v>215</v>
      </c>
    </row>
    <row r="64" spans="1:5" x14ac:dyDescent="0.2">
      <c r="A64" s="2"/>
      <c r="B64" s="5" t="s">
        <v>9</v>
      </c>
      <c r="C64" s="57">
        <f>(21.659727/264.18)*1000000</f>
        <v>81988.519191460378</v>
      </c>
      <c r="D64" s="58">
        <v>36493</v>
      </c>
      <c r="E64" s="58">
        <v>215</v>
      </c>
    </row>
    <row r="65" spans="1:5" x14ac:dyDescent="0.2">
      <c r="A65" s="2"/>
      <c r="B65" s="5" t="s">
        <v>10</v>
      </c>
      <c r="C65" s="57">
        <f>(21.00181/264.18)*1000000</f>
        <v>79498.107351048515</v>
      </c>
      <c r="D65" s="58">
        <v>36503</v>
      </c>
      <c r="E65" s="58">
        <v>215</v>
      </c>
    </row>
    <row r="66" spans="1:5" x14ac:dyDescent="0.2">
      <c r="A66" s="2"/>
      <c r="B66" s="5" t="s">
        <v>11</v>
      </c>
      <c r="C66" s="57">
        <f>(20.419526/264.18)*1000000</f>
        <v>77293.988946930127</v>
      </c>
      <c r="D66" s="58">
        <v>36507</v>
      </c>
      <c r="E66" s="58">
        <v>215</v>
      </c>
    </row>
    <row r="67" spans="1:5" x14ac:dyDescent="0.2">
      <c r="A67" s="2"/>
      <c r="B67" s="5" t="s">
        <v>12</v>
      </c>
      <c r="C67" s="57">
        <f>(19.721279/264.18)*1000000</f>
        <v>74650.916042092504</v>
      </c>
      <c r="D67" s="58">
        <v>36503</v>
      </c>
      <c r="E67" s="58">
        <v>215</v>
      </c>
    </row>
    <row r="68" spans="1:5" x14ac:dyDescent="0.2">
      <c r="A68" s="2"/>
      <c r="B68" s="5" t="s">
        <v>13</v>
      </c>
      <c r="C68" s="57">
        <f>(21.727331/264.18)*1000000</f>
        <v>82244.420470891055</v>
      </c>
      <c r="D68" s="58">
        <v>36502</v>
      </c>
      <c r="E68" s="58">
        <v>215</v>
      </c>
    </row>
    <row r="69" spans="1:5" x14ac:dyDescent="0.2">
      <c r="A69" s="2"/>
      <c r="B69" s="5" t="s">
        <v>14</v>
      </c>
      <c r="C69" s="57">
        <f>(22.361774/264.18)*1000000</f>
        <v>84645.976228329178</v>
      </c>
      <c r="D69" s="58">
        <v>36502</v>
      </c>
      <c r="E69" s="58">
        <v>3417</v>
      </c>
    </row>
    <row r="70" spans="1:5" x14ac:dyDescent="0.2">
      <c r="A70" s="10"/>
      <c r="B70" s="8" t="s">
        <v>15</v>
      </c>
      <c r="C70" s="59">
        <f>(22.738126/264.18)*1000000</f>
        <v>86070.580664698311</v>
      </c>
      <c r="D70" s="60">
        <v>36503</v>
      </c>
      <c r="E70" s="60">
        <v>4328</v>
      </c>
    </row>
    <row r="71" spans="1:5" x14ac:dyDescent="0.2">
      <c r="A71" s="46" t="s">
        <v>63</v>
      </c>
      <c r="B71" s="5"/>
      <c r="C71" s="7"/>
      <c r="D71" s="6"/>
      <c r="E71" s="6"/>
    </row>
    <row r="72" spans="1:5" ht="19.5" customHeight="1" x14ac:dyDescent="0.2">
      <c r="A72" s="72" t="s">
        <v>51</v>
      </c>
      <c r="B72" s="72"/>
      <c r="C72" s="72"/>
      <c r="D72" s="72"/>
      <c r="E72" s="72"/>
    </row>
    <row r="73" spans="1:5" x14ac:dyDescent="0.2">
      <c r="A73" s="72" t="s">
        <v>25</v>
      </c>
      <c r="B73" s="72"/>
      <c r="C73" s="72"/>
      <c r="D73" s="72"/>
      <c r="E73" s="72"/>
    </row>
    <row r="74" spans="1:5" ht="12" customHeight="1" x14ac:dyDescent="0.2">
      <c r="A74" s="72" t="s">
        <v>26</v>
      </c>
      <c r="B74" s="72"/>
      <c r="C74" s="72"/>
      <c r="D74" s="72"/>
      <c r="E74" s="72"/>
    </row>
    <row r="75" spans="1:5" ht="12" customHeight="1" x14ac:dyDescent="0.2">
      <c r="A75" s="72" t="s">
        <v>27</v>
      </c>
      <c r="B75" s="72"/>
      <c r="C75" s="72"/>
      <c r="D75" s="72"/>
      <c r="E75" s="72"/>
    </row>
    <row r="76" spans="1:5" x14ac:dyDescent="0.2">
      <c r="A76" s="72" t="s">
        <v>21</v>
      </c>
      <c r="B76" s="72"/>
      <c r="C76" s="72"/>
      <c r="D76" s="72"/>
      <c r="E76" s="72"/>
    </row>
    <row r="77" spans="1:5" ht="19.5" customHeight="1" x14ac:dyDescent="0.2">
      <c r="A77" s="72" t="s">
        <v>66</v>
      </c>
      <c r="B77" s="72"/>
      <c r="C77" s="72"/>
      <c r="D77" s="72"/>
      <c r="E77" s="72"/>
    </row>
  </sheetData>
  <mergeCells count="10">
    <mergeCell ref="A73:E73"/>
    <mergeCell ref="A75:E75"/>
    <mergeCell ref="A76:E76"/>
    <mergeCell ref="A77:E77"/>
    <mergeCell ref="A74:E74"/>
    <mergeCell ref="A1:E1"/>
    <mergeCell ref="A4:A5"/>
    <mergeCell ref="B4:B5"/>
    <mergeCell ref="A72:E7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0"/>
  <sheetViews>
    <sheetView workbookViewId="0">
      <selection activeCell="I7" sqref="I7"/>
    </sheetView>
  </sheetViews>
  <sheetFormatPr baseColWidth="10" defaultColWidth="11.42578125" defaultRowHeight="12" x14ac:dyDescent="0.2"/>
  <cols>
    <col min="1" max="1" width="14.85546875" style="9" customWidth="1"/>
    <col min="2" max="2" width="17.140625" style="9" customWidth="1"/>
    <col min="3" max="4" width="18.5703125" style="9" customWidth="1"/>
    <col min="5" max="6" width="20" style="9" customWidth="1"/>
    <col min="7" max="16384" width="11.42578125" style="9"/>
  </cols>
  <sheetData>
    <row r="1" spans="1:11" x14ac:dyDescent="0.2">
      <c r="A1" s="74"/>
      <c r="B1" s="74"/>
      <c r="C1" s="74"/>
      <c r="D1" s="74"/>
      <c r="E1" s="74"/>
      <c r="F1" s="74"/>
    </row>
    <row r="2" spans="1:11" ht="27" customHeight="1" x14ac:dyDescent="0.2">
      <c r="A2" s="78" t="s">
        <v>53</v>
      </c>
      <c r="B2" s="78"/>
      <c r="C2" s="78"/>
      <c r="D2" s="78"/>
      <c r="E2" s="78"/>
      <c r="F2" s="78"/>
      <c r="G2" s="67"/>
      <c r="H2" s="67"/>
      <c r="I2" s="67"/>
      <c r="J2" s="67"/>
      <c r="K2" s="67"/>
    </row>
    <row r="3" spans="1:11" x14ac:dyDescent="0.2">
      <c r="A3" s="17"/>
      <c r="B3" s="18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41</v>
      </c>
      <c r="E4" s="27" t="s">
        <v>42</v>
      </c>
      <c r="F4" s="27" t="s">
        <v>43</v>
      </c>
    </row>
    <row r="5" spans="1:11" ht="14.25" x14ac:dyDescent="0.2">
      <c r="A5" s="76"/>
      <c r="B5" s="76"/>
      <c r="C5" s="28" t="s">
        <v>32</v>
      </c>
      <c r="D5" s="28"/>
      <c r="E5" s="28"/>
      <c r="F5" s="28"/>
    </row>
    <row r="6" spans="1:11" ht="19.5" customHeight="1" x14ac:dyDescent="0.2">
      <c r="A6" s="39" t="s">
        <v>54</v>
      </c>
      <c r="B6" s="17"/>
      <c r="C6" s="40">
        <f>AVERAGE(C7:C18)</f>
        <v>1614320.7282913162</v>
      </c>
      <c r="D6" s="52">
        <f>AVERAGE(D7:D18)</f>
        <v>92.246249999999989</v>
      </c>
      <c r="E6" s="40">
        <f>AVERAGE(E7:E18)</f>
        <v>407902.91666666669</v>
      </c>
      <c r="F6" s="40">
        <f>AVERAGE(F7:F18)</f>
        <v>218626.58333333334</v>
      </c>
    </row>
    <row r="7" spans="1:11" ht="14.25" customHeight="1" x14ac:dyDescent="0.2">
      <c r="A7" s="31" t="s">
        <v>2</v>
      </c>
      <c r="B7" s="21" t="s">
        <v>4</v>
      </c>
      <c r="C7" s="40">
        <f>C21+C34+C47+C60</f>
        <v>1564758.8765235823</v>
      </c>
      <c r="D7" s="52">
        <f>AVERAGE(D21,D34,D47,D60)</f>
        <v>88.287499999999994</v>
      </c>
      <c r="E7" s="40">
        <f t="shared" ref="C7:F18" si="0">E21+E34+E47+E60</f>
        <v>399322</v>
      </c>
      <c r="F7" s="40">
        <f t="shared" si="0"/>
        <v>194279</v>
      </c>
      <c r="G7" s="61"/>
      <c r="H7" s="61"/>
      <c r="I7" s="61"/>
      <c r="J7" s="61"/>
    </row>
    <row r="8" spans="1:11" x14ac:dyDescent="0.2">
      <c r="A8" s="17"/>
      <c r="B8" s="21" t="s">
        <v>5</v>
      </c>
      <c r="C8" s="40">
        <f t="shared" si="0"/>
        <v>1583480.9599515479</v>
      </c>
      <c r="D8" s="52">
        <f t="shared" ref="D8:D14" si="1">AVERAGE(D22,D35,D48,D61)</f>
        <v>88.584999999999994</v>
      </c>
      <c r="E8" s="40">
        <f t="shared" si="0"/>
        <v>400560</v>
      </c>
      <c r="F8" s="40">
        <f t="shared" si="0"/>
        <v>194569</v>
      </c>
      <c r="G8" s="61"/>
      <c r="H8" s="61"/>
      <c r="I8" s="61"/>
      <c r="J8" s="61"/>
    </row>
    <row r="9" spans="1:11" x14ac:dyDescent="0.2">
      <c r="A9" s="17"/>
      <c r="B9" s="21" t="s">
        <v>6</v>
      </c>
      <c r="C9" s="40">
        <f t="shared" si="0"/>
        <v>1606090.5443258383</v>
      </c>
      <c r="D9" s="52">
        <f t="shared" si="1"/>
        <v>91.414999999999992</v>
      </c>
      <c r="E9" s="40">
        <f t="shared" si="0"/>
        <v>400993</v>
      </c>
      <c r="F9" s="40">
        <f t="shared" si="0"/>
        <v>194805</v>
      </c>
      <c r="G9" s="61"/>
      <c r="H9" s="61"/>
      <c r="I9" s="61"/>
      <c r="J9" s="61"/>
    </row>
    <row r="10" spans="1:11" x14ac:dyDescent="0.2">
      <c r="A10" s="17"/>
      <c r="B10" s="21" t="s">
        <v>7</v>
      </c>
      <c r="C10" s="40">
        <f>C24+C37+C50+C63</f>
        <v>1597331.3649784236</v>
      </c>
      <c r="D10" s="52">
        <f t="shared" si="1"/>
        <v>93.265000000000001</v>
      </c>
      <c r="E10" s="40">
        <f t="shared" si="0"/>
        <v>402044</v>
      </c>
      <c r="F10" s="40">
        <f t="shared" si="0"/>
        <v>226426</v>
      </c>
      <c r="G10" s="61"/>
      <c r="H10" s="61"/>
      <c r="I10" s="61"/>
      <c r="J10" s="61"/>
    </row>
    <row r="11" spans="1:11" x14ac:dyDescent="0.2">
      <c r="A11" s="17"/>
      <c r="B11" s="21" t="s">
        <v>8</v>
      </c>
      <c r="C11" s="40">
        <f t="shared" si="0"/>
        <v>1601544.4015444017</v>
      </c>
      <c r="D11" s="52">
        <f t="shared" si="1"/>
        <v>90.927500000000009</v>
      </c>
      <c r="E11" s="40">
        <f t="shared" si="0"/>
        <v>408738</v>
      </c>
      <c r="F11" s="40">
        <f t="shared" si="0"/>
        <v>226436</v>
      </c>
      <c r="G11" s="61"/>
      <c r="H11" s="61"/>
      <c r="I11" s="61"/>
      <c r="J11" s="61"/>
    </row>
    <row r="12" spans="1:11" x14ac:dyDescent="0.2">
      <c r="A12" s="17"/>
      <c r="B12" s="21" t="s">
        <v>9</v>
      </c>
      <c r="C12" s="40">
        <f t="shared" si="0"/>
        <v>1623692.1795745324</v>
      </c>
      <c r="D12" s="52">
        <f t="shared" si="1"/>
        <v>94.185000000000002</v>
      </c>
      <c r="E12" s="40">
        <f t="shared" si="0"/>
        <v>408998</v>
      </c>
      <c r="F12" s="40">
        <f t="shared" si="0"/>
        <v>226468</v>
      </c>
      <c r="G12" s="61"/>
      <c r="H12" s="61"/>
      <c r="I12" s="61"/>
      <c r="J12" s="61"/>
    </row>
    <row r="13" spans="1:11" x14ac:dyDescent="0.2">
      <c r="A13" s="17"/>
      <c r="B13" s="21" t="s">
        <v>10</v>
      </c>
      <c r="C13" s="40">
        <f t="shared" si="0"/>
        <v>1610757.8166401696</v>
      </c>
      <c r="D13" s="52">
        <f t="shared" si="1"/>
        <v>90.637500000000003</v>
      </c>
      <c r="E13" s="40">
        <f t="shared" si="0"/>
        <v>410852</v>
      </c>
      <c r="F13" s="40">
        <f t="shared" si="0"/>
        <v>226468</v>
      </c>
      <c r="G13" s="61"/>
      <c r="H13" s="61"/>
      <c r="I13" s="61"/>
      <c r="J13" s="61"/>
    </row>
    <row r="14" spans="1:11" x14ac:dyDescent="0.2">
      <c r="A14" s="17"/>
      <c r="B14" s="21" t="s">
        <v>11</v>
      </c>
      <c r="C14" s="40">
        <f t="shared" si="0"/>
        <v>1625217.6546294193</v>
      </c>
      <c r="D14" s="52">
        <f t="shared" si="1"/>
        <v>90.922499999999999</v>
      </c>
      <c r="E14" s="40">
        <f t="shared" si="0"/>
        <v>411475</v>
      </c>
      <c r="F14" s="40">
        <f t="shared" si="0"/>
        <v>226697</v>
      </c>
      <c r="G14" s="61"/>
      <c r="H14" s="61"/>
      <c r="I14" s="61"/>
      <c r="J14" s="61"/>
    </row>
    <row r="15" spans="1:11" x14ac:dyDescent="0.2">
      <c r="A15" s="17"/>
      <c r="B15" s="21" t="s">
        <v>12</v>
      </c>
      <c r="C15" s="40">
        <f>C29+C42+C55+C68</f>
        <v>1618252.7064880007</v>
      </c>
      <c r="D15" s="52">
        <f>AVERAGE(D29,D42,D55,D68)</f>
        <v>89.337500000000006</v>
      </c>
      <c r="E15" s="40">
        <f t="shared" si="0"/>
        <v>412158</v>
      </c>
      <c r="F15" s="40">
        <f t="shared" si="0"/>
        <v>226733</v>
      </c>
      <c r="G15" s="61"/>
      <c r="H15" s="61"/>
      <c r="I15" s="61"/>
      <c r="J15" s="61"/>
    </row>
    <row r="16" spans="1:11" x14ac:dyDescent="0.2">
      <c r="A16" s="17"/>
      <c r="B16" s="21" t="s">
        <v>13</v>
      </c>
      <c r="C16" s="40">
        <f t="shared" si="0"/>
        <v>1631198.4253160725</v>
      </c>
      <c r="D16" s="52">
        <f t="shared" ref="D16:D17" si="2">AVERAGE(D30,D43,D56,D69)</f>
        <v>97.56</v>
      </c>
      <c r="E16" s="40">
        <f t="shared" si="0"/>
        <v>412304</v>
      </c>
      <c r="F16" s="40">
        <f t="shared" si="0"/>
        <v>226835</v>
      </c>
      <c r="G16" s="61"/>
      <c r="H16" s="61"/>
      <c r="I16" s="61"/>
      <c r="J16" s="61"/>
    </row>
    <row r="17" spans="1:10" x14ac:dyDescent="0.2">
      <c r="A17" s="17"/>
      <c r="B17" s="21" t="s">
        <v>14</v>
      </c>
      <c r="C17" s="40">
        <f t="shared" si="0"/>
        <v>1632901.8093723976</v>
      </c>
      <c r="D17" s="52">
        <f t="shared" si="2"/>
        <v>95.495000000000005</v>
      </c>
      <c r="E17" s="40">
        <f t="shared" si="0"/>
        <v>413667</v>
      </c>
      <c r="F17" s="40">
        <f t="shared" si="0"/>
        <v>226901</v>
      </c>
      <c r="G17" s="61"/>
      <c r="H17" s="61"/>
      <c r="I17" s="61"/>
      <c r="J17" s="61"/>
    </row>
    <row r="18" spans="1:10" x14ac:dyDescent="0.2">
      <c r="A18" s="17"/>
      <c r="B18" s="21" t="s">
        <v>15</v>
      </c>
      <c r="C18" s="40">
        <f t="shared" si="0"/>
        <v>1676622.0001514119</v>
      </c>
      <c r="D18" s="52">
        <f>AVERAGE(D32,D45,D58,D71)</f>
        <v>96.337500000000006</v>
      </c>
      <c r="E18" s="40">
        <f t="shared" si="0"/>
        <v>413724</v>
      </c>
      <c r="F18" s="40">
        <f t="shared" si="0"/>
        <v>226902</v>
      </c>
      <c r="G18" s="61"/>
      <c r="H18" s="61"/>
      <c r="I18" s="61"/>
      <c r="J18" s="61"/>
    </row>
    <row r="19" spans="1:10" x14ac:dyDescent="0.2">
      <c r="A19" s="17"/>
      <c r="B19" s="21"/>
      <c r="C19" s="41"/>
      <c r="D19" s="41"/>
      <c r="E19" s="41"/>
      <c r="F19" s="41"/>
    </row>
    <row r="20" spans="1:10" ht="24" customHeight="1" x14ac:dyDescent="0.2">
      <c r="A20" s="30" t="s">
        <v>16</v>
      </c>
      <c r="B20" s="30" t="s">
        <v>22</v>
      </c>
      <c r="C20" s="40">
        <f>AVERAGE(C21:C32)</f>
        <v>557836.51298357185</v>
      </c>
      <c r="D20" s="52">
        <f>AVERAGE(D21:D32)</f>
        <v>96.37833333333333</v>
      </c>
      <c r="E20" s="40">
        <f>AVERAGE(E21:E32)</f>
        <v>107682.07166666667</v>
      </c>
      <c r="F20" s="40">
        <f>AVERAGE(F21:F32)</f>
        <v>81181.416666666672</v>
      </c>
    </row>
    <row r="21" spans="1:10" x14ac:dyDescent="0.2">
      <c r="A21" s="17"/>
      <c r="B21" s="21" t="s">
        <v>4</v>
      </c>
      <c r="C21" s="42">
        <f>(138.81/264.18)*1000000</f>
        <v>525437.20190779003</v>
      </c>
      <c r="D21" s="50">
        <v>98.91</v>
      </c>
      <c r="E21" s="43">
        <v>104798</v>
      </c>
      <c r="F21" s="43">
        <v>71325</v>
      </c>
    </row>
    <row r="22" spans="1:10" x14ac:dyDescent="0.2">
      <c r="A22" s="17"/>
      <c r="B22" s="21" t="s">
        <v>5</v>
      </c>
      <c r="C22" s="42">
        <f>(140.742/264.18)*1000000</f>
        <v>532750.39745627972</v>
      </c>
      <c r="D22" s="50">
        <v>97.43</v>
      </c>
      <c r="E22" s="43">
        <v>104855</v>
      </c>
      <c r="F22" s="43">
        <v>71372</v>
      </c>
    </row>
    <row r="23" spans="1:10" x14ac:dyDescent="0.2">
      <c r="A23" s="17"/>
      <c r="B23" s="21" t="s">
        <v>6</v>
      </c>
      <c r="C23" s="42">
        <f>(145.497/264.18)*1000000</f>
        <v>550749.48898478318</v>
      </c>
      <c r="D23" s="50">
        <v>95.41</v>
      </c>
      <c r="E23" s="43">
        <v>104941</v>
      </c>
      <c r="F23" s="43">
        <v>71385</v>
      </c>
    </row>
    <row r="24" spans="1:10" x14ac:dyDescent="0.2">
      <c r="A24" s="17"/>
      <c r="B24" s="21" t="s">
        <v>7</v>
      </c>
      <c r="C24" s="42">
        <f>(141.11/264.18)*1000000</f>
        <v>534143.3870845635</v>
      </c>
      <c r="D24" s="50">
        <v>96.46</v>
      </c>
      <c r="E24" s="43">
        <v>105197</v>
      </c>
      <c r="F24" s="43">
        <v>84455</v>
      </c>
    </row>
    <row r="25" spans="1:10" x14ac:dyDescent="0.2">
      <c r="A25" s="17"/>
      <c r="B25" s="21" t="s">
        <v>8</v>
      </c>
      <c r="C25" s="42">
        <f>(144.026/264.18)*1000000</f>
        <v>545181.31576955109</v>
      </c>
      <c r="D25" s="50">
        <v>96.34</v>
      </c>
      <c r="E25" s="43">
        <v>108275</v>
      </c>
      <c r="F25" s="43">
        <v>84455</v>
      </c>
    </row>
    <row r="26" spans="1:10" x14ac:dyDescent="0.2">
      <c r="A26" s="17"/>
      <c r="B26" s="21" t="s">
        <v>9</v>
      </c>
      <c r="C26" s="42">
        <f>(145.466/264.18)*1000000</f>
        <v>550632.14474979183</v>
      </c>
      <c r="D26" s="50">
        <v>97.63</v>
      </c>
      <c r="E26" s="43">
        <v>108288</v>
      </c>
      <c r="F26" s="43">
        <v>84455</v>
      </c>
    </row>
    <row r="27" spans="1:10" x14ac:dyDescent="0.2">
      <c r="A27" s="17"/>
      <c r="B27" s="21" t="s">
        <v>10</v>
      </c>
      <c r="C27" s="42">
        <f>(152.19/264.18)*1000000</f>
        <v>576084.48784919374</v>
      </c>
      <c r="D27" s="50">
        <v>95.04</v>
      </c>
      <c r="E27" s="43">
        <v>109044</v>
      </c>
      <c r="F27" s="43">
        <v>84455</v>
      </c>
    </row>
    <row r="28" spans="1:10" x14ac:dyDescent="0.2">
      <c r="A28" s="17"/>
      <c r="B28" s="21" t="s">
        <v>11</v>
      </c>
      <c r="C28" s="42">
        <f>(155.36/264.18)*1000000</f>
        <v>588083.88220152934</v>
      </c>
      <c r="D28" s="50">
        <v>97.07</v>
      </c>
      <c r="E28" s="43">
        <v>109101</v>
      </c>
      <c r="F28" s="43">
        <v>84455</v>
      </c>
    </row>
    <row r="29" spans="1:10" x14ac:dyDescent="0.2">
      <c r="A29" s="17"/>
      <c r="B29" s="21" t="s">
        <v>12</v>
      </c>
      <c r="C29" s="42">
        <f>(150.88/264.18)*1000000</f>
        <v>571125.74759633583</v>
      </c>
      <c r="D29" s="50">
        <v>95.16</v>
      </c>
      <c r="E29" s="43">
        <v>109408</v>
      </c>
      <c r="F29" s="43">
        <v>84455</v>
      </c>
    </row>
    <row r="30" spans="1:10" x14ac:dyDescent="0.2">
      <c r="A30" s="17"/>
      <c r="B30" s="21" t="s">
        <v>13</v>
      </c>
      <c r="C30" s="42">
        <f>(148.78/264.18)*1000000</f>
        <v>563176.62200015143</v>
      </c>
      <c r="D30" s="50">
        <v>97.61</v>
      </c>
      <c r="E30" s="43">
        <v>109420.83</v>
      </c>
      <c r="F30" s="43">
        <v>84455</v>
      </c>
    </row>
    <row r="31" spans="1:10" x14ac:dyDescent="0.2">
      <c r="A31" s="17"/>
      <c r="B31" s="21" t="s">
        <v>14</v>
      </c>
      <c r="C31" s="42">
        <f>(151.82/264.18)*1000000</f>
        <v>574683.92762510397</v>
      </c>
      <c r="D31" s="50">
        <v>95.09</v>
      </c>
      <c r="E31" s="43">
        <v>109424.56</v>
      </c>
      <c r="F31" s="43">
        <v>84455</v>
      </c>
    </row>
    <row r="32" spans="1:10" x14ac:dyDescent="0.2">
      <c r="A32" s="17"/>
      <c r="B32" s="21" t="s">
        <v>15</v>
      </c>
      <c r="C32" s="42">
        <f>(153.75/264.18)*1000000</f>
        <v>581989.55257778789</v>
      </c>
      <c r="D32" s="50">
        <v>94.39</v>
      </c>
      <c r="E32" s="43">
        <v>109432.47</v>
      </c>
      <c r="F32" s="43">
        <v>84455</v>
      </c>
    </row>
    <row r="33" spans="1:6" ht="24" customHeight="1" x14ac:dyDescent="0.2">
      <c r="A33" s="30" t="s">
        <v>20</v>
      </c>
      <c r="B33" s="30" t="s">
        <v>22</v>
      </c>
      <c r="C33" s="40">
        <f>AVERAGE(C34:C45)</f>
        <v>419476.30403512757</v>
      </c>
      <c r="D33" s="52">
        <f>AVERAGE(D34:D45)</f>
        <v>96.048333333333346</v>
      </c>
      <c r="E33" s="40">
        <f>AVERAGE(E34:E45)</f>
        <v>123418.92833333333</v>
      </c>
      <c r="F33" s="40">
        <f>AVERAGE(F34:F45)</f>
        <v>92582.916666666672</v>
      </c>
    </row>
    <row r="34" spans="1:6" x14ac:dyDescent="0.2">
      <c r="A34" s="17"/>
      <c r="B34" s="21" t="s">
        <v>4</v>
      </c>
      <c r="C34" s="42">
        <f>(110.456/264.18)*1000000</f>
        <v>418108.86516768869</v>
      </c>
      <c r="D34" s="50">
        <v>97.32</v>
      </c>
      <c r="E34" s="43">
        <v>119912</v>
      </c>
      <c r="F34" s="43">
        <v>78651</v>
      </c>
    </row>
    <row r="35" spans="1:6" x14ac:dyDescent="0.2">
      <c r="A35" s="17"/>
      <c r="B35" s="21" t="s">
        <v>5</v>
      </c>
      <c r="C35" s="42">
        <f>(111.089/264.18)*1000000</f>
        <v>420504.95874025283</v>
      </c>
      <c r="D35" s="50">
        <v>97.28</v>
      </c>
      <c r="E35" s="43">
        <v>119951</v>
      </c>
      <c r="F35" s="43">
        <v>78702</v>
      </c>
    </row>
    <row r="36" spans="1:6" x14ac:dyDescent="0.2">
      <c r="A36" s="17"/>
      <c r="B36" s="21" t="s">
        <v>6</v>
      </c>
      <c r="C36" s="42">
        <f>(106.366/264.18)*1000000</f>
        <v>402626.99674464378</v>
      </c>
      <c r="D36" s="50">
        <v>96.06</v>
      </c>
      <c r="E36" s="43">
        <v>119997</v>
      </c>
      <c r="F36" s="43">
        <v>78716</v>
      </c>
    </row>
    <row r="37" spans="1:6" x14ac:dyDescent="0.2">
      <c r="A37" s="17"/>
      <c r="B37" s="21" t="s">
        <v>7</v>
      </c>
      <c r="C37" s="42">
        <f>(105.004/264.18)*1000000</f>
        <v>397471.42100083275</v>
      </c>
      <c r="D37" s="50">
        <v>96.76</v>
      </c>
      <c r="E37" s="43">
        <v>120647</v>
      </c>
      <c r="F37" s="43">
        <v>97214</v>
      </c>
    </row>
    <row r="38" spans="1:6" x14ac:dyDescent="0.2">
      <c r="A38" s="17"/>
      <c r="B38" s="21" t="s">
        <v>8</v>
      </c>
      <c r="C38" s="42">
        <f>(105.014/264.18)*1000000</f>
        <v>397509.27397986216</v>
      </c>
      <c r="D38" s="50">
        <v>96.13</v>
      </c>
      <c r="E38" s="43">
        <v>124177</v>
      </c>
      <c r="F38" s="43">
        <v>97214</v>
      </c>
    </row>
    <row r="39" spans="1:6" x14ac:dyDescent="0.2">
      <c r="A39" s="17"/>
      <c r="B39" s="21" t="s">
        <v>9</v>
      </c>
      <c r="C39" s="42">
        <f>(107.408/264.18)*1000000</f>
        <v>406571.27715951245</v>
      </c>
      <c r="D39" s="50">
        <v>96.89</v>
      </c>
      <c r="E39" s="43">
        <v>124192</v>
      </c>
      <c r="F39" s="43">
        <v>97214</v>
      </c>
    </row>
    <row r="40" spans="1:6" x14ac:dyDescent="0.2">
      <c r="A40" s="17"/>
      <c r="B40" s="21" t="s">
        <v>10</v>
      </c>
      <c r="C40" s="42">
        <f>(109.63/264.18)*1000000</f>
        <v>414982.20909985609</v>
      </c>
      <c r="D40" s="50">
        <v>93.38</v>
      </c>
      <c r="E40" s="43">
        <v>125059</v>
      </c>
      <c r="F40" s="43">
        <v>97214</v>
      </c>
    </row>
    <row r="41" spans="1:6" x14ac:dyDescent="0.2">
      <c r="A41" s="17"/>
      <c r="B41" s="21" t="s">
        <v>11</v>
      </c>
      <c r="C41" s="42">
        <f>(116.13/264.18)*1000000</f>
        <v>439586.64546899841</v>
      </c>
      <c r="D41" s="50">
        <v>95.2</v>
      </c>
      <c r="E41" s="43">
        <v>125125</v>
      </c>
      <c r="F41" s="43">
        <v>97214</v>
      </c>
    </row>
    <row r="42" spans="1:6" x14ac:dyDescent="0.2">
      <c r="A42" s="17"/>
      <c r="B42" s="21" t="s">
        <v>12</v>
      </c>
      <c r="C42" s="42">
        <f>(113.89/264.18)*1000000</f>
        <v>431107.57816640165</v>
      </c>
      <c r="D42" s="50">
        <v>92.19</v>
      </c>
      <c r="E42" s="43">
        <v>125476</v>
      </c>
      <c r="F42" s="43">
        <v>97214</v>
      </c>
    </row>
    <row r="43" spans="1:6" x14ac:dyDescent="0.2">
      <c r="A43" s="17"/>
      <c r="B43" s="21" t="s">
        <v>13</v>
      </c>
      <c r="C43" s="42">
        <f>(111.63/264.18)*1000000</f>
        <v>422552.80490574602</v>
      </c>
      <c r="D43" s="50">
        <v>97.61</v>
      </c>
      <c r="E43" s="43">
        <v>125491.17</v>
      </c>
      <c r="F43" s="43">
        <v>97214</v>
      </c>
    </row>
    <row r="44" spans="1:6" x14ac:dyDescent="0.2">
      <c r="A44" s="17"/>
      <c r="B44" s="21" t="s">
        <v>14</v>
      </c>
      <c r="C44" s="42">
        <f>(113.68/264.18)*1000000</f>
        <v>430312.6656067833</v>
      </c>
      <c r="D44" s="50">
        <v>95.62</v>
      </c>
      <c r="E44" s="43">
        <v>125495.44</v>
      </c>
      <c r="F44" s="43">
        <v>97214</v>
      </c>
    </row>
    <row r="45" spans="1:6" x14ac:dyDescent="0.2">
      <c r="A45" s="17"/>
      <c r="B45" s="21" t="s">
        <v>15</v>
      </c>
      <c r="C45" s="42">
        <f>(119.51/264.18)*1000000</f>
        <v>452380.95238095237</v>
      </c>
      <c r="D45" s="50">
        <v>98.14</v>
      </c>
      <c r="E45" s="43">
        <v>125504.53</v>
      </c>
      <c r="F45" s="43">
        <v>97214</v>
      </c>
    </row>
    <row r="46" spans="1:6" ht="24" customHeight="1" x14ac:dyDescent="0.2">
      <c r="A46" s="30" t="s">
        <v>18</v>
      </c>
      <c r="B46" s="30" t="s">
        <v>22</v>
      </c>
      <c r="C46" s="40">
        <f>AVERAGE(C47:C58)</f>
        <v>436296.27526686335</v>
      </c>
      <c r="D46" s="52">
        <f>AVERAGE(D47:D58)</f>
        <v>95.88666666666667</v>
      </c>
      <c r="E46" s="40">
        <f>AVERAGE(E47:E58)</f>
        <v>133441</v>
      </c>
      <c r="F46" s="40">
        <f>AVERAGE(F47:F58)</f>
        <v>35032.083333333336</v>
      </c>
    </row>
    <row r="47" spans="1:6" x14ac:dyDescent="0.2">
      <c r="A47" s="17"/>
      <c r="B47" s="21" t="s">
        <v>4</v>
      </c>
      <c r="C47" s="42">
        <f>(113.502/264.18)*1000000</f>
        <v>429638.882580059</v>
      </c>
      <c r="D47" s="50">
        <v>92.03</v>
      </c>
      <c r="E47" s="43">
        <v>131501</v>
      </c>
      <c r="F47" s="43">
        <v>34549</v>
      </c>
    </row>
    <row r="48" spans="1:6" x14ac:dyDescent="0.2">
      <c r="A48" s="17"/>
      <c r="B48" s="21" t="s">
        <v>5</v>
      </c>
      <c r="C48" s="42">
        <f>(113.856/264.18)*1000000</f>
        <v>430978.87803770154</v>
      </c>
      <c r="D48" s="50">
        <v>94.18</v>
      </c>
      <c r="E48" s="43">
        <v>132595</v>
      </c>
      <c r="F48" s="43">
        <v>34736</v>
      </c>
    </row>
    <row r="49" spans="1:6" x14ac:dyDescent="0.2">
      <c r="A49" s="17"/>
      <c r="B49" s="21" t="s">
        <v>6</v>
      </c>
      <c r="C49" s="42">
        <f>(117.626/264.18)*1000000</f>
        <v>445249.45113180409</v>
      </c>
      <c r="D49" s="50">
        <v>97.78</v>
      </c>
      <c r="E49" s="43">
        <v>132873</v>
      </c>
      <c r="F49" s="43">
        <v>34922</v>
      </c>
    </row>
    <row r="50" spans="1:6" x14ac:dyDescent="0.2">
      <c r="A50" s="17"/>
      <c r="B50" s="21" t="s">
        <v>7</v>
      </c>
      <c r="C50" s="42">
        <f>(117.362/264.18)*1000000</f>
        <v>444250.13248542655</v>
      </c>
      <c r="D50" s="50">
        <v>99.08</v>
      </c>
      <c r="E50" s="43">
        <v>132922</v>
      </c>
      <c r="F50" s="43">
        <v>34947</v>
      </c>
    </row>
    <row r="51" spans="1:6" x14ac:dyDescent="0.2">
      <c r="A51" s="17"/>
      <c r="B51" s="21" t="s">
        <v>8</v>
      </c>
      <c r="C51" s="42">
        <f>(115.528/264.18)*1000000</f>
        <v>437307.89613142557</v>
      </c>
      <c r="D51" s="50">
        <v>95.62</v>
      </c>
      <c r="E51" s="43">
        <v>132960</v>
      </c>
      <c r="F51" s="43">
        <v>34947</v>
      </c>
    </row>
    <row r="52" spans="1:6" x14ac:dyDescent="0.2">
      <c r="A52" s="17"/>
      <c r="B52" s="21" t="s">
        <v>9</v>
      </c>
      <c r="C52" s="42">
        <f>(117.315/264.18)*1000000</f>
        <v>444072.22348398814</v>
      </c>
      <c r="D52" s="50">
        <v>97.67</v>
      </c>
      <c r="E52" s="43">
        <v>133111</v>
      </c>
      <c r="F52" s="43">
        <v>34965</v>
      </c>
    </row>
    <row r="53" spans="1:6" x14ac:dyDescent="0.2">
      <c r="A53" s="17"/>
      <c r="B53" s="21" t="s">
        <v>10</v>
      </c>
      <c r="C53" s="42">
        <f>(115.89/264.18)*1000000</f>
        <v>438678.17397229158</v>
      </c>
      <c r="D53" s="50">
        <v>96.99</v>
      </c>
      <c r="E53" s="43">
        <v>133301</v>
      </c>
      <c r="F53" s="43">
        <v>34964</v>
      </c>
    </row>
    <row r="54" spans="1:6" x14ac:dyDescent="0.2">
      <c r="A54" s="17"/>
      <c r="B54" s="21" t="s">
        <v>11</v>
      </c>
      <c r="C54" s="42">
        <f>(110.9/264.18)*1000000</f>
        <v>419789.53743659623</v>
      </c>
      <c r="D54" s="50">
        <v>91.62</v>
      </c>
      <c r="E54" s="43">
        <v>133797</v>
      </c>
      <c r="F54" s="43">
        <v>35190</v>
      </c>
    </row>
    <row r="55" spans="1:6" x14ac:dyDescent="0.2">
      <c r="A55" s="17"/>
      <c r="B55" s="21" t="s">
        <v>12</v>
      </c>
      <c r="C55" s="42">
        <f>(113.89/264.18)*1000000</f>
        <v>431107.57816640165</v>
      </c>
      <c r="D55" s="50">
        <v>93.65</v>
      </c>
      <c r="E55" s="43">
        <v>133817</v>
      </c>
      <c r="F55" s="43">
        <v>35222</v>
      </c>
    </row>
    <row r="56" spans="1:6" x14ac:dyDescent="0.2">
      <c r="A56" s="17"/>
      <c r="B56" s="21" t="s">
        <v>13</v>
      </c>
      <c r="C56" s="42">
        <f>(117.87/264.18)*1000000</f>
        <v>446173.06382012268</v>
      </c>
      <c r="D56" s="50">
        <v>97.41</v>
      </c>
      <c r="E56" s="43">
        <v>133892</v>
      </c>
      <c r="F56" s="43">
        <v>35281</v>
      </c>
    </row>
    <row r="57" spans="1:6" x14ac:dyDescent="0.2">
      <c r="A57" s="17"/>
      <c r="B57" s="21" t="s">
        <v>14</v>
      </c>
      <c r="C57" s="42">
        <f>(114.51/264.18)*1000000</f>
        <v>433454.46286622755</v>
      </c>
      <c r="D57" s="50">
        <v>96.18</v>
      </c>
      <c r="E57" s="43">
        <v>135243</v>
      </c>
      <c r="F57" s="43">
        <v>35333</v>
      </c>
    </row>
    <row r="58" spans="1:6" x14ac:dyDescent="0.2">
      <c r="A58" s="17"/>
      <c r="B58" s="21" t="s">
        <v>15</v>
      </c>
      <c r="C58" s="42">
        <f>(114.88/264.18)*1000000</f>
        <v>434855.02309031721</v>
      </c>
      <c r="D58" s="50">
        <v>98.43</v>
      </c>
      <c r="E58" s="43">
        <v>135280</v>
      </c>
      <c r="F58" s="43">
        <v>35329</v>
      </c>
    </row>
    <row r="59" spans="1:6" ht="24" customHeight="1" x14ac:dyDescent="0.2">
      <c r="A59" s="30" t="s">
        <v>19</v>
      </c>
      <c r="B59" s="30" t="s">
        <v>22</v>
      </c>
      <c r="C59" s="40">
        <f>AVERAGE(C60:C71)</f>
        <v>200711.63600575365</v>
      </c>
      <c r="D59" s="52">
        <f>AVERAGE(D60:D71)</f>
        <v>80.671666666666667</v>
      </c>
      <c r="E59" s="40">
        <f>AVERAGE(E60:E71)</f>
        <v>43360.916666666664</v>
      </c>
      <c r="F59" s="40">
        <f>AVERAGE(F60:F71)</f>
        <v>9830.1666666666661</v>
      </c>
    </row>
    <row r="60" spans="1:6" x14ac:dyDescent="0.2">
      <c r="A60" s="17"/>
      <c r="B60" s="21" t="s">
        <v>4</v>
      </c>
      <c r="C60" s="42">
        <f>(50.61/264.18)*1000000</f>
        <v>191573.92686804451</v>
      </c>
      <c r="D60" s="50">
        <v>64.89</v>
      </c>
      <c r="E60" s="43">
        <v>43111</v>
      </c>
      <c r="F60" s="43">
        <v>9754</v>
      </c>
    </row>
    <row r="61" spans="1:6" x14ac:dyDescent="0.2">
      <c r="A61" s="17"/>
      <c r="B61" s="21" t="s">
        <v>5</v>
      </c>
      <c r="C61" s="42">
        <f>(52.637/264.18)*1000000</f>
        <v>199246.72571731394</v>
      </c>
      <c r="D61" s="50">
        <v>65.45</v>
      </c>
      <c r="E61" s="43">
        <v>43159</v>
      </c>
      <c r="F61" s="43">
        <v>9759</v>
      </c>
    </row>
    <row r="62" spans="1:6" x14ac:dyDescent="0.2">
      <c r="A62" s="17"/>
      <c r="B62" s="21" t="s">
        <v>6</v>
      </c>
      <c r="C62" s="42">
        <f>(54.808/264.18)*1000000</f>
        <v>207464.60746460746</v>
      </c>
      <c r="D62" s="50">
        <v>76.41</v>
      </c>
      <c r="E62" s="43">
        <v>43182</v>
      </c>
      <c r="F62" s="43">
        <v>9782</v>
      </c>
    </row>
    <row r="63" spans="1:6" x14ac:dyDescent="0.2">
      <c r="A63" s="17"/>
      <c r="B63" s="21" t="s">
        <v>7</v>
      </c>
      <c r="C63" s="42">
        <f>(58.507/264.18)*1000000</f>
        <v>221466.42440760086</v>
      </c>
      <c r="D63" s="50">
        <v>80.760000000000005</v>
      </c>
      <c r="E63" s="43">
        <v>43278</v>
      </c>
      <c r="F63" s="43">
        <v>9810</v>
      </c>
    </row>
    <row r="64" spans="1:6" x14ac:dyDescent="0.2">
      <c r="A64" s="17"/>
      <c r="B64" s="21" t="s">
        <v>8</v>
      </c>
      <c r="C64" s="42">
        <f>(58.528/264.18)*1000000</f>
        <v>221545.91566356272</v>
      </c>
      <c r="D64" s="50">
        <v>75.62</v>
      </c>
      <c r="E64" s="43">
        <v>43326</v>
      </c>
      <c r="F64" s="43">
        <v>9820</v>
      </c>
    </row>
    <row r="65" spans="1:6" x14ac:dyDescent="0.2">
      <c r="A65" s="17"/>
      <c r="B65" s="21" t="s">
        <v>9</v>
      </c>
      <c r="C65" s="42">
        <f>(58.758/264.18)*1000000</f>
        <v>222416.53418124007</v>
      </c>
      <c r="D65" s="50">
        <v>84.55</v>
      </c>
      <c r="E65" s="43">
        <v>43407</v>
      </c>
      <c r="F65" s="43">
        <v>9834</v>
      </c>
    </row>
    <row r="66" spans="1:6" x14ac:dyDescent="0.2">
      <c r="A66" s="17"/>
      <c r="B66" s="21" t="s">
        <v>10</v>
      </c>
      <c r="C66" s="42">
        <f>(47.82/264.18)*1000000</f>
        <v>181012.94571882806</v>
      </c>
      <c r="D66" s="50">
        <v>77.14</v>
      </c>
      <c r="E66" s="43">
        <v>43448</v>
      </c>
      <c r="F66" s="43">
        <v>9835</v>
      </c>
    </row>
    <row r="67" spans="1:6" x14ac:dyDescent="0.2">
      <c r="A67" s="17"/>
      <c r="B67" s="21" t="s">
        <v>11</v>
      </c>
      <c r="C67" s="42">
        <f>(46.96/264.18)*1000000</f>
        <v>177757.5895222954</v>
      </c>
      <c r="D67" s="50">
        <v>79.8</v>
      </c>
      <c r="E67" s="43">
        <v>43452</v>
      </c>
      <c r="F67" s="43">
        <v>9838</v>
      </c>
    </row>
    <row r="68" spans="1:6" x14ac:dyDescent="0.2">
      <c r="A68" s="17"/>
      <c r="B68" s="21" t="s">
        <v>12</v>
      </c>
      <c r="C68" s="42">
        <f>(48.85/264.18)*1000000</f>
        <v>184911.80255886138</v>
      </c>
      <c r="D68" s="50">
        <v>76.349999999999994</v>
      </c>
      <c r="E68" s="43">
        <v>43457</v>
      </c>
      <c r="F68" s="43">
        <v>9842</v>
      </c>
    </row>
    <row r="69" spans="1:6" x14ac:dyDescent="0.2">
      <c r="A69" s="17"/>
      <c r="B69" s="21" t="s">
        <v>13</v>
      </c>
      <c r="C69" s="42">
        <f>(52.65/264.18)*1000000</f>
        <v>199295.93459005223</v>
      </c>
      <c r="D69" s="50">
        <v>97.61</v>
      </c>
      <c r="E69" s="43">
        <v>43500</v>
      </c>
      <c r="F69" s="43">
        <v>9885</v>
      </c>
    </row>
    <row r="70" spans="1:6" x14ac:dyDescent="0.2">
      <c r="A70" s="17"/>
      <c r="B70" s="21" t="s">
        <v>14</v>
      </c>
      <c r="C70" s="42">
        <f>(51.37/264.18)*1000000</f>
        <v>194450.75327428267</v>
      </c>
      <c r="D70" s="50">
        <v>95.09</v>
      </c>
      <c r="E70" s="43">
        <v>43504</v>
      </c>
      <c r="F70" s="43">
        <v>9899</v>
      </c>
    </row>
    <row r="71" spans="1:6" ht="15" customHeight="1" x14ac:dyDescent="0.2">
      <c r="A71" s="34"/>
      <c r="B71" s="26" t="s">
        <v>15</v>
      </c>
      <c r="C71" s="44">
        <f>(54.79/264.18)*1000000</f>
        <v>207396.47210235446</v>
      </c>
      <c r="D71" s="51">
        <v>94.39</v>
      </c>
      <c r="E71" s="45">
        <v>43507</v>
      </c>
      <c r="F71" s="45">
        <v>9904</v>
      </c>
    </row>
    <row r="72" spans="1:6" ht="15" customHeight="1" x14ac:dyDescent="0.2">
      <c r="A72" s="47" t="s">
        <v>63</v>
      </c>
      <c r="B72" s="21"/>
      <c r="C72" s="42"/>
      <c r="D72" s="41"/>
      <c r="E72" s="43"/>
      <c r="F72" s="43"/>
    </row>
    <row r="73" spans="1:6" ht="12.6" customHeight="1" x14ac:dyDescent="0.2">
      <c r="A73" s="77" t="s">
        <v>68</v>
      </c>
      <c r="B73" s="77"/>
      <c r="C73" s="77"/>
      <c r="D73" s="77"/>
      <c r="E73" s="77"/>
      <c r="F73" s="77"/>
    </row>
    <row r="74" spans="1:6" ht="10.9" customHeight="1" x14ac:dyDescent="0.2">
      <c r="A74" s="38" t="s">
        <v>58</v>
      </c>
      <c r="B74" s="37"/>
      <c r="C74" s="37"/>
      <c r="D74" s="37"/>
      <c r="E74" s="37"/>
      <c r="F74" s="37"/>
    </row>
    <row r="75" spans="1:6" ht="11.25" customHeight="1" x14ac:dyDescent="0.2">
      <c r="A75" s="77" t="s">
        <v>59</v>
      </c>
      <c r="B75" s="77"/>
      <c r="C75" s="77"/>
      <c r="D75" s="77"/>
      <c r="E75" s="77"/>
      <c r="F75" s="77"/>
    </row>
    <row r="76" spans="1:6" ht="11.25" customHeight="1" x14ac:dyDescent="0.2">
      <c r="A76" s="77" t="s">
        <v>60</v>
      </c>
      <c r="B76" s="77"/>
      <c r="C76" s="77"/>
      <c r="D76" s="77"/>
      <c r="E76" s="77"/>
      <c r="F76" s="77"/>
    </row>
    <row r="77" spans="1:6" ht="11.25" customHeight="1" x14ac:dyDescent="0.2">
      <c r="A77" s="80" t="s">
        <v>61</v>
      </c>
      <c r="B77" s="80"/>
      <c r="C77" s="80"/>
      <c r="D77" s="80"/>
      <c r="E77" s="80"/>
      <c r="F77" s="80"/>
    </row>
    <row r="78" spans="1:6" ht="11.25" customHeight="1" x14ac:dyDescent="0.2">
      <c r="A78" s="77" t="s">
        <v>24</v>
      </c>
      <c r="B78" s="77"/>
      <c r="C78" s="77"/>
      <c r="D78" s="77"/>
      <c r="E78" s="77"/>
      <c r="F78" s="77"/>
    </row>
    <row r="79" spans="1:6" x14ac:dyDescent="0.2">
      <c r="A79" s="38" t="s">
        <v>56</v>
      </c>
      <c r="B79" s="37"/>
      <c r="C79" s="37"/>
      <c r="D79" s="37"/>
      <c r="E79" s="37"/>
      <c r="F79" s="37"/>
    </row>
    <row r="80" spans="1:6" x14ac:dyDescent="0.2">
      <c r="A80" s="77" t="s">
        <v>23</v>
      </c>
      <c r="B80" s="77"/>
      <c r="C80" s="77"/>
      <c r="D80" s="77"/>
      <c r="E80" s="77"/>
      <c r="F80" s="77"/>
    </row>
  </sheetData>
  <mergeCells count="10">
    <mergeCell ref="A1:F1"/>
    <mergeCell ref="A4:A5"/>
    <mergeCell ref="B4:B5"/>
    <mergeCell ref="A80:F80"/>
    <mergeCell ref="A73:F73"/>
    <mergeCell ref="A75:F75"/>
    <mergeCell ref="A76:F76"/>
    <mergeCell ref="A77:F77"/>
    <mergeCell ref="A78:F78"/>
    <mergeCell ref="A2:F2"/>
  </mergeCells>
  <pageMargins left="0.7" right="0.7" top="0.75" bottom="0.75" header="0.3" footer="0.3"/>
  <pageSetup paperSize="9" orientation="portrait" r:id="rId1"/>
  <ignoredErrors>
    <ignoredError sqref="D7 D8:D10 D11:D14 D15:D1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F1CF-0688-404D-BEB2-68FE8103965B}">
  <dimension ref="A1:K80"/>
  <sheetViews>
    <sheetView workbookViewId="0">
      <selection activeCell="I8" sqref="I8"/>
    </sheetView>
  </sheetViews>
  <sheetFormatPr baseColWidth="10" defaultColWidth="11.42578125" defaultRowHeight="12" x14ac:dyDescent="0.2"/>
  <cols>
    <col min="1" max="1" width="14.85546875" style="9" customWidth="1"/>
    <col min="2" max="2" width="17.140625" style="9" customWidth="1"/>
    <col min="3" max="3" width="18.5703125" style="9" customWidth="1"/>
    <col min="4" max="4" width="16.5703125" style="9" customWidth="1"/>
    <col min="5" max="6" width="20" style="9" customWidth="1"/>
    <col min="7" max="16384" width="11.42578125" style="9"/>
  </cols>
  <sheetData>
    <row r="1" spans="1:11" x14ac:dyDescent="0.2">
      <c r="A1" s="74"/>
      <c r="B1" s="74"/>
      <c r="C1" s="74"/>
      <c r="D1" s="74"/>
      <c r="E1" s="74"/>
      <c r="F1" s="74"/>
    </row>
    <row r="2" spans="1:11" ht="26.25" customHeight="1" x14ac:dyDescent="0.2">
      <c r="A2" s="78" t="s">
        <v>62</v>
      </c>
      <c r="B2" s="78"/>
      <c r="C2" s="78"/>
      <c r="D2" s="78"/>
      <c r="E2" s="78"/>
      <c r="F2" s="78"/>
      <c r="G2" s="67"/>
      <c r="H2" s="67"/>
      <c r="I2" s="67"/>
      <c r="J2" s="67"/>
      <c r="K2" s="67"/>
    </row>
    <row r="3" spans="1:11" x14ac:dyDescent="0.2">
      <c r="A3" s="17"/>
      <c r="B3" s="18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41</v>
      </c>
      <c r="E4" s="27" t="s">
        <v>42</v>
      </c>
      <c r="F4" s="27" t="s">
        <v>43</v>
      </c>
    </row>
    <row r="5" spans="1:11" ht="14.25" x14ac:dyDescent="0.2">
      <c r="A5" s="76"/>
      <c r="B5" s="76"/>
      <c r="C5" s="28" t="s">
        <v>32</v>
      </c>
      <c r="D5" s="28"/>
      <c r="E5" s="28"/>
      <c r="F5" s="28"/>
    </row>
    <row r="6" spans="1:11" ht="19.5" customHeight="1" x14ac:dyDescent="0.2">
      <c r="A6" s="39" t="s">
        <v>54</v>
      </c>
      <c r="B6" s="17"/>
      <c r="C6" s="40">
        <f>AVERAGE(C7:C18)</f>
        <v>1486133.1920155447</v>
      </c>
      <c r="D6" s="52">
        <f>AVERAGE(D7:D18)</f>
        <v>89.699374999999989</v>
      </c>
      <c r="E6" s="40">
        <f>AVERAGE(E7:E18)</f>
        <v>416241.33333333331</v>
      </c>
      <c r="F6" s="40">
        <f>AVERAGE(F7:F18)</f>
        <v>228272.33333333334</v>
      </c>
      <c r="G6" s="66"/>
      <c r="H6" s="66"/>
      <c r="I6" s="66"/>
      <c r="J6" s="66"/>
      <c r="K6" s="66"/>
    </row>
    <row r="7" spans="1:11" ht="14.25" customHeight="1" x14ac:dyDescent="0.2">
      <c r="A7" s="31" t="s">
        <v>2</v>
      </c>
      <c r="B7" s="21" t="s">
        <v>4</v>
      </c>
      <c r="C7" s="40">
        <f>C21+C34+C47+C60</f>
        <v>1629608.6001968354</v>
      </c>
      <c r="D7" s="52">
        <f>AVERAGE(D21,D34,D47,D60)</f>
        <v>96.797499999999999</v>
      </c>
      <c r="E7" s="40">
        <f t="shared" ref="C7:F18" si="0">E21+E34+E47+E60</f>
        <v>413929</v>
      </c>
      <c r="F7" s="40">
        <f t="shared" si="0"/>
        <v>227151</v>
      </c>
      <c r="G7" s="61"/>
      <c r="H7" s="61"/>
      <c r="I7" s="61"/>
      <c r="J7" s="61"/>
      <c r="K7" s="61"/>
    </row>
    <row r="8" spans="1:11" x14ac:dyDescent="0.2">
      <c r="A8" s="17"/>
      <c r="B8" s="21" t="s">
        <v>5</v>
      </c>
      <c r="C8" s="40">
        <f t="shared" si="0"/>
        <v>1533386.3275039745</v>
      </c>
      <c r="D8" s="52">
        <f t="shared" ref="D8:D14" si="1">AVERAGE(D22,D35,D48,D61)</f>
        <v>93.929999999999993</v>
      </c>
      <c r="E8" s="40">
        <f t="shared" si="0"/>
        <v>414844</v>
      </c>
      <c r="F8" s="40">
        <f t="shared" si="0"/>
        <v>227290</v>
      </c>
      <c r="G8" s="61"/>
      <c r="H8" s="61"/>
      <c r="I8" s="61"/>
      <c r="J8" s="61"/>
      <c r="K8" s="61"/>
    </row>
    <row r="9" spans="1:11" x14ac:dyDescent="0.2">
      <c r="A9" s="17"/>
      <c r="B9" s="21" t="s">
        <v>6</v>
      </c>
      <c r="C9" s="40">
        <f t="shared" si="0"/>
        <v>1304337.951396775</v>
      </c>
      <c r="D9" s="52">
        <f t="shared" si="1"/>
        <v>90.657499999999999</v>
      </c>
      <c r="E9" s="40">
        <f t="shared" si="0"/>
        <v>415177</v>
      </c>
      <c r="F9" s="40">
        <f t="shared" si="0"/>
        <v>227615</v>
      </c>
      <c r="G9" s="61"/>
      <c r="H9" s="61"/>
      <c r="I9" s="61"/>
      <c r="J9" s="61"/>
      <c r="K9" s="61"/>
    </row>
    <row r="10" spans="1:11" x14ac:dyDescent="0.2">
      <c r="A10" s="17"/>
      <c r="B10" s="21" t="s">
        <v>7</v>
      </c>
      <c r="C10" s="40">
        <f>C24+C37+C50+C63</f>
        <v>1353395.4122189416</v>
      </c>
      <c r="D10" s="52">
        <f t="shared" si="1"/>
        <v>92.677499999999995</v>
      </c>
      <c r="E10" s="40">
        <f t="shared" si="0"/>
        <v>416050</v>
      </c>
      <c r="F10" s="40">
        <f t="shared" si="0"/>
        <v>228317</v>
      </c>
      <c r="G10" s="61"/>
      <c r="H10" s="61"/>
      <c r="I10" s="61"/>
      <c r="J10" s="61"/>
      <c r="K10" s="61"/>
    </row>
    <row r="11" spans="1:11" x14ac:dyDescent="0.2">
      <c r="A11" s="17"/>
      <c r="B11" s="21" t="s">
        <v>8</v>
      </c>
      <c r="C11" s="40">
        <f t="shared" si="0"/>
        <v>1343440.0787341963</v>
      </c>
      <c r="D11" s="52">
        <f t="shared" si="1"/>
        <v>89.602500000000006</v>
      </c>
      <c r="E11" s="40">
        <f t="shared" si="0"/>
        <v>416107</v>
      </c>
      <c r="F11" s="40">
        <f t="shared" si="0"/>
        <v>228422</v>
      </c>
      <c r="G11" s="61"/>
      <c r="H11" s="61"/>
      <c r="I11" s="61"/>
      <c r="J11" s="61"/>
      <c r="K11" s="61"/>
    </row>
    <row r="12" spans="1:11" x14ac:dyDescent="0.2">
      <c r="A12" s="17"/>
      <c r="B12" s="21" t="s">
        <v>9</v>
      </c>
      <c r="C12" s="40">
        <f t="shared" si="0"/>
        <v>1443409.7963509727</v>
      </c>
      <c r="D12" s="52">
        <f t="shared" si="1"/>
        <v>85.735000000000014</v>
      </c>
      <c r="E12" s="40">
        <f t="shared" si="0"/>
        <v>416145</v>
      </c>
      <c r="F12" s="40">
        <f t="shared" si="0"/>
        <v>228500</v>
      </c>
      <c r="G12" s="61"/>
      <c r="H12" s="61"/>
      <c r="I12" s="61"/>
      <c r="J12" s="61"/>
      <c r="K12" s="61"/>
    </row>
    <row r="13" spans="1:11" x14ac:dyDescent="0.2">
      <c r="A13" s="17"/>
      <c r="B13" s="21" t="s">
        <v>10</v>
      </c>
      <c r="C13" s="40">
        <f t="shared" si="0"/>
        <v>1469074.1161329397</v>
      </c>
      <c r="D13" s="52">
        <f t="shared" si="1"/>
        <v>90.882499999999993</v>
      </c>
      <c r="E13" s="40">
        <f t="shared" si="0"/>
        <v>416443</v>
      </c>
      <c r="F13" s="40">
        <f t="shared" si="0"/>
        <v>228580</v>
      </c>
      <c r="G13" s="61"/>
      <c r="H13" s="61"/>
      <c r="I13" s="61"/>
      <c r="J13" s="61"/>
      <c r="K13" s="61"/>
    </row>
    <row r="14" spans="1:11" x14ac:dyDescent="0.2">
      <c r="A14" s="17"/>
      <c r="B14" s="21" t="s">
        <v>11</v>
      </c>
      <c r="C14" s="40">
        <f t="shared" si="0"/>
        <v>1552388.522976758</v>
      </c>
      <c r="D14" s="52">
        <f t="shared" si="1"/>
        <v>88.357500000000002</v>
      </c>
      <c r="E14" s="40">
        <f t="shared" si="0"/>
        <v>417521</v>
      </c>
      <c r="F14" s="40">
        <f t="shared" si="0"/>
        <v>228661</v>
      </c>
      <c r="G14" s="61"/>
      <c r="H14" s="61"/>
      <c r="I14" s="61"/>
      <c r="J14" s="61"/>
      <c r="K14" s="61"/>
    </row>
    <row r="15" spans="1:11" x14ac:dyDescent="0.2">
      <c r="A15" s="17"/>
      <c r="B15" s="21" t="s">
        <v>12</v>
      </c>
      <c r="C15" s="40">
        <f>C29+C42+C55+C68</f>
        <v>1556893.0274812628</v>
      </c>
      <c r="D15" s="52">
        <f>AVERAGE(D29,D42,D55,D68)</f>
        <v>86.907499999999999</v>
      </c>
      <c r="E15" s="40">
        <f t="shared" si="0"/>
        <v>417518</v>
      </c>
      <c r="F15" s="40">
        <f t="shared" si="0"/>
        <v>228683</v>
      </c>
      <c r="G15" s="61"/>
      <c r="H15" s="61"/>
      <c r="I15" s="61"/>
      <c r="J15" s="61"/>
      <c r="K15" s="61"/>
    </row>
    <row r="16" spans="1:11" x14ac:dyDescent="0.2">
      <c r="A16" s="17"/>
      <c r="B16" s="21" t="s">
        <v>13</v>
      </c>
      <c r="C16" s="40">
        <f t="shared" si="0"/>
        <v>1495230.5246422894</v>
      </c>
      <c r="D16" s="52">
        <f t="shared" ref="D16:D17" si="2">AVERAGE(D30,D43,D56,D69)</f>
        <v>85.532499999999999</v>
      </c>
      <c r="E16" s="40">
        <f t="shared" si="0"/>
        <v>417105</v>
      </c>
      <c r="F16" s="40">
        <f t="shared" si="0"/>
        <v>228683</v>
      </c>
      <c r="G16" s="61"/>
      <c r="H16" s="61"/>
      <c r="I16" s="61"/>
      <c r="J16" s="61"/>
      <c r="K16" s="61"/>
    </row>
    <row r="17" spans="1:11" x14ac:dyDescent="0.2">
      <c r="A17" s="17"/>
      <c r="B17" s="21" t="s">
        <v>14</v>
      </c>
      <c r="C17" s="40">
        <f t="shared" si="0"/>
        <v>1563820.1226436521</v>
      </c>
      <c r="D17" s="52">
        <f t="shared" si="2"/>
        <v>89.174999999999997</v>
      </c>
      <c r="E17" s="40">
        <f t="shared" si="0"/>
        <v>417141</v>
      </c>
      <c r="F17" s="40">
        <f t="shared" si="0"/>
        <v>228683</v>
      </c>
      <c r="G17" s="61"/>
      <c r="H17" s="61"/>
      <c r="I17" s="61"/>
      <c r="J17" s="61"/>
      <c r="K17" s="61"/>
    </row>
    <row r="18" spans="1:11" x14ac:dyDescent="0.2">
      <c r="A18" s="17"/>
      <c r="B18" s="21" t="s">
        <v>15</v>
      </c>
      <c r="C18" s="40">
        <f t="shared" si="0"/>
        <v>1588613.8239079416</v>
      </c>
      <c r="D18" s="52">
        <f>AVERAGE(D32,D45,D58,D71)</f>
        <v>86.137500000000003</v>
      </c>
      <c r="E18" s="40">
        <f t="shared" si="0"/>
        <v>416916</v>
      </c>
      <c r="F18" s="40">
        <f t="shared" si="0"/>
        <v>228683</v>
      </c>
      <c r="G18" s="61"/>
      <c r="H18" s="61"/>
      <c r="I18" s="61"/>
      <c r="J18" s="61"/>
      <c r="K18" s="61"/>
    </row>
    <row r="19" spans="1:11" x14ac:dyDescent="0.2">
      <c r="A19" s="17"/>
      <c r="B19" s="21"/>
      <c r="C19" s="41"/>
      <c r="D19" s="41"/>
      <c r="E19" s="41"/>
      <c r="F19" s="41"/>
    </row>
    <row r="20" spans="1:11" ht="24" customHeight="1" x14ac:dyDescent="0.2">
      <c r="A20" s="30" t="s">
        <v>16</v>
      </c>
      <c r="B20" s="30" t="s">
        <v>22</v>
      </c>
      <c r="C20" s="40">
        <f>AVERAGE(C21:C32)</f>
        <v>494016.07489842788</v>
      </c>
      <c r="D20" s="52">
        <f>AVERAGE(D21:D32)</f>
        <v>94.854166666666686</v>
      </c>
      <c r="E20" s="40">
        <f>AVERAGE(E21:E32)</f>
        <v>110433.16666666667</v>
      </c>
      <c r="F20" s="40">
        <f>AVERAGE(F21:F32)</f>
        <v>92598.833333333328</v>
      </c>
    </row>
    <row r="21" spans="1:11" x14ac:dyDescent="0.2">
      <c r="A21" s="17"/>
      <c r="B21" s="21" t="s">
        <v>4</v>
      </c>
      <c r="C21" s="42">
        <f>(152.08/264.18)*1000000</f>
        <v>575668.10507986974</v>
      </c>
      <c r="D21" s="50">
        <v>97.87</v>
      </c>
      <c r="E21" s="43">
        <v>109384</v>
      </c>
      <c r="F21" s="43">
        <v>92635</v>
      </c>
    </row>
    <row r="22" spans="1:11" x14ac:dyDescent="0.2">
      <c r="A22" s="17"/>
      <c r="B22" s="21" t="s">
        <v>5</v>
      </c>
      <c r="C22" s="42">
        <f>(139.59/264.18)*1000000</f>
        <v>528389.73427208723</v>
      </c>
      <c r="D22" s="50">
        <v>95.71</v>
      </c>
      <c r="E22" s="43">
        <v>109387</v>
      </c>
      <c r="F22" s="43">
        <v>92631</v>
      </c>
    </row>
    <row r="23" spans="1:11" x14ac:dyDescent="0.2">
      <c r="A23" s="17"/>
      <c r="B23" s="21" t="s">
        <v>6</v>
      </c>
      <c r="C23" s="42">
        <f>(109.74/264.18)*1000000</f>
        <v>415398.59186918009</v>
      </c>
      <c r="D23" s="50">
        <v>95.92</v>
      </c>
      <c r="E23" s="43">
        <v>109285</v>
      </c>
      <c r="F23" s="43">
        <v>92592</v>
      </c>
    </row>
    <row r="24" spans="1:11" x14ac:dyDescent="0.2">
      <c r="A24" s="17"/>
      <c r="B24" s="21" t="s">
        <v>7</v>
      </c>
      <c r="C24" s="42">
        <f>(113.85/264.18)*1000000</f>
        <v>430956.16625028389</v>
      </c>
      <c r="D24" s="50">
        <v>96.32</v>
      </c>
      <c r="E24" s="43">
        <v>109317</v>
      </c>
      <c r="F24" s="43">
        <v>92592</v>
      </c>
    </row>
    <row r="25" spans="1:11" x14ac:dyDescent="0.2">
      <c r="A25" s="17"/>
      <c r="B25" s="21" t="s">
        <v>8</v>
      </c>
      <c r="C25" s="42">
        <f>(119.63/264.18)*1000000</f>
        <v>452835.18812930572</v>
      </c>
      <c r="D25" s="50">
        <v>96.41</v>
      </c>
      <c r="E25" s="43">
        <v>109317</v>
      </c>
      <c r="F25" s="43">
        <v>92592</v>
      </c>
    </row>
    <row r="26" spans="1:11" x14ac:dyDescent="0.2">
      <c r="A26" s="17"/>
      <c r="B26" s="21" t="s">
        <v>9</v>
      </c>
      <c r="C26" s="42">
        <f>(136.51/264.18)*1000000</f>
        <v>516731.01673101675</v>
      </c>
      <c r="D26" s="50">
        <v>91.86</v>
      </c>
      <c r="E26" s="43">
        <v>109256</v>
      </c>
      <c r="F26" s="43">
        <v>92592</v>
      </c>
    </row>
    <row r="27" spans="1:11" x14ac:dyDescent="0.2">
      <c r="A27" s="17"/>
      <c r="B27" s="21" t="s">
        <v>10</v>
      </c>
      <c r="C27" s="42">
        <f>(129.38/264.18)*1000000</f>
        <v>489741.84268301912</v>
      </c>
      <c r="D27" s="50">
        <v>95.52</v>
      </c>
      <c r="E27" s="43">
        <v>109494</v>
      </c>
      <c r="F27" s="43">
        <v>92592</v>
      </c>
    </row>
    <row r="28" spans="1:11" x14ac:dyDescent="0.2">
      <c r="A28" s="17"/>
      <c r="B28" s="21" t="s">
        <v>11</v>
      </c>
      <c r="C28" s="42">
        <f>(135.14/264.18)*1000000</f>
        <v>511545.15860398207</v>
      </c>
      <c r="D28" s="50">
        <v>94.96</v>
      </c>
      <c r="E28" s="43">
        <v>110241</v>
      </c>
      <c r="F28" s="43">
        <v>92592</v>
      </c>
    </row>
    <row r="29" spans="1:11" x14ac:dyDescent="0.2">
      <c r="A29" s="17"/>
      <c r="B29" s="21" t="s">
        <v>12</v>
      </c>
      <c r="C29" s="42">
        <f>(133.5/264.18)*1000000</f>
        <v>505337.27004315244</v>
      </c>
      <c r="D29" s="50">
        <v>96.07</v>
      </c>
      <c r="E29" s="43">
        <v>110229</v>
      </c>
      <c r="F29" s="43">
        <v>92592</v>
      </c>
    </row>
    <row r="30" spans="1:11" x14ac:dyDescent="0.2">
      <c r="A30" s="17"/>
      <c r="B30" s="21" t="s">
        <v>13</v>
      </c>
      <c r="C30" s="42">
        <f>(130.95/264.18)*1000000</f>
        <v>495684.76039064268</v>
      </c>
      <c r="D30" s="50">
        <v>93.87</v>
      </c>
      <c r="E30" s="43">
        <v>113254</v>
      </c>
      <c r="F30" s="43">
        <v>92592</v>
      </c>
    </row>
    <row r="31" spans="1:11" x14ac:dyDescent="0.2">
      <c r="A31" s="17"/>
      <c r="B31" s="21" t="s">
        <v>14</v>
      </c>
      <c r="C31" s="42">
        <f>(133.68/264.18)*1000000</f>
        <v>506018.62366568251</v>
      </c>
      <c r="D31" s="50">
        <v>95.78</v>
      </c>
      <c r="E31" s="43">
        <v>112987</v>
      </c>
      <c r="F31" s="43">
        <v>92592</v>
      </c>
    </row>
    <row r="32" spans="1:11" x14ac:dyDescent="0.2">
      <c r="A32" s="17"/>
      <c r="B32" s="21" t="s">
        <v>15</v>
      </c>
      <c r="C32" s="42">
        <f>(132.06/264.18)*1000000</f>
        <v>499886.44106291165</v>
      </c>
      <c r="D32" s="50">
        <v>87.96</v>
      </c>
      <c r="E32" s="43">
        <v>113047</v>
      </c>
      <c r="F32" s="43">
        <v>92592</v>
      </c>
    </row>
    <row r="33" spans="1:6" ht="24" customHeight="1" x14ac:dyDescent="0.2">
      <c r="A33" s="30" t="s">
        <v>20</v>
      </c>
      <c r="B33" s="30" t="s">
        <v>22</v>
      </c>
      <c r="C33" s="40">
        <f>AVERAGE(C34:C45)</f>
        <v>400386.73126908421</v>
      </c>
      <c r="D33" s="52">
        <f>AVERAGE(D34:D45)</f>
        <v>92.333333333333329</v>
      </c>
      <c r="E33" s="40">
        <f>AVERAGE(E34:E45)</f>
        <v>126124.5</v>
      </c>
      <c r="F33" s="40">
        <f>AVERAGE(F34:F45)</f>
        <v>89070.166666666672</v>
      </c>
    </row>
    <row r="34" spans="1:6" x14ac:dyDescent="0.2">
      <c r="A34" s="17"/>
      <c r="B34" s="21" t="s">
        <v>4</v>
      </c>
      <c r="C34" s="42">
        <f>(116.17/264.18)*1000000</f>
        <v>439738.05738511618</v>
      </c>
      <c r="D34" s="50">
        <v>98.38</v>
      </c>
      <c r="E34" s="43">
        <v>125557</v>
      </c>
      <c r="F34" s="43">
        <v>89034</v>
      </c>
    </row>
    <row r="35" spans="1:6" x14ac:dyDescent="0.2">
      <c r="A35" s="17"/>
      <c r="B35" s="21" t="s">
        <v>5</v>
      </c>
      <c r="C35" s="42">
        <f>(105.27/264.18)*1000000</f>
        <v>398478.31024301611</v>
      </c>
      <c r="D35" s="50">
        <v>96.47</v>
      </c>
      <c r="E35" s="43">
        <v>125557</v>
      </c>
      <c r="F35" s="43">
        <v>89038</v>
      </c>
    </row>
    <row r="36" spans="1:6" x14ac:dyDescent="0.2">
      <c r="A36" s="17"/>
      <c r="B36" s="21" t="s">
        <v>6</v>
      </c>
      <c r="C36" s="42">
        <f>(93.98/264.18)*1000000</f>
        <v>355742.2969187675</v>
      </c>
      <c r="D36" s="50">
        <v>95.82</v>
      </c>
      <c r="E36" s="43">
        <v>125659</v>
      </c>
      <c r="F36" s="43">
        <v>89077</v>
      </c>
    </row>
    <row r="37" spans="1:6" x14ac:dyDescent="0.2">
      <c r="A37" s="17"/>
      <c r="B37" s="21" t="s">
        <v>7</v>
      </c>
      <c r="C37" s="42">
        <f>(94.81/264.18)*1000000</f>
        <v>358884.09417821182</v>
      </c>
      <c r="D37" s="50">
        <v>96.12</v>
      </c>
      <c r="E37" s="43">
        <v>125627</v>
      </c>
      <c r="F37" s="43">
        <v>89077</v>
      </c>
    </row>
    <row r="38" spans="1:6" x14ac:dyDescent="0.2">
      <c r="A38" s="17"/>
      <c r="B38" s="21" t="s">
        <v>8</v>
      </c>
      <c r="C38" s="42">
        <f>(94.67/264.18)*1000000</f>
        <v>358354.15247179952</v>
      </c>
      <c r="D38" s="50">
        <v>92.2</v>
      </c>
      <c r="E38" s="43">
        <v>125627</v>
      </c>
      <c r="F38" s="43">
        <v>89077</v>
      </c>
    </row>
    <row r="39" spans="1:6" x14ac:dyDescent="0.2">
      <c r="A39" s="17"/>
      <c r="B39" s="21" t="s">
        <v>9</v>
      </c>
      <c r="C39" s="42">
        <f>(95.03/264.18)*1000000</f>
        <v>359716.85971685976</v>
      </c>
      <c r="D39" s="50">
        <v>91.31</v>
      </c>
      <c r="E39" s="43">
        <v>125691</v>
      </c>
      <c r="F39" s="43">
        <v>89077</v>
      </c>
    </row>
    <row r="40" spans="1:6" x14ac:dyDescent="0.2">
      <c r="A40" s="17"/>
      <c r="B40" s="21" t="s">
        <v>10</v>
      </c>
      <c r="C40" s="42">
        <f>(100.22/264.18)*1000000</f>
        <v>379362.55583314406</v>
      </c>
      <c r="D40" s="50">
        <v>92.38</v>
      </c>
      <c r="E40" s="43">
        <v>125701</v>
      </c>
      <c r="F40" s="43">
        <v>89077</v>
      </c>
    </row>
    <row r="41" spans="1:6" x14ac:dyDescent="0.2">
      <c r="A41" s="17"/>
      <c r="B41" s="21" t="s">
        <v>11</v>
      </c>
      <c r="C41" s="42">
        <f>(107.53/264.18)*1000000</f>
        <v>407033.08350367175</v>
      </c>
      <c r="D41" s="50">
        <v>89.49</v>
      </c>
      <c r="E41" s="43">
        <v>126026</v>
      </c>
      <c r="F41" s="43">
        <v>89077</v>
      </c>
    </row>
    <row r="42" spans="1:6" x14ac:dyDescent="0.2">
      <c r="A42" s="17"/>
      <c r="B42" s="21" t="s">
        <v>12</v>
      </c>
      <c r="C42" s="42">
        <f>(117.97/264.18)*1000000</f>
        <v>446551.59361041716</v>
      </c>
      <c r="D42" s="50">
        <v>91.82</v>
      </c>
      <c r="E42" s="43">
        <v>126038</v>
      </c>
      <c r="F42" s="43">
        <v>89077</v>
      </c>
    </row>
    <row r="43" spans="1:6" x14ac:dyDescent="0.2">
      <c r="A43" s="17"/>
      <c r="B43" s="21" t="s">
        <v>13</v>
      </c>
      <c r="C43" s="42">
        <f>(113.64/264.18)*1000000</f>
        <v>430161.25369066541</v>
      </c>
      <c r="D43" s="50">
        <v>88.26</v>
      </c>
      <c r="E43" s="43">
        <v>127215</v>
      </c>
      <c r="F43" s="43">
        <v>89077</v>
      </c>
    </row>
    <row r="44" spans="1:6" x14ac:dyDescent="0.2">
      <c r="A44" s="17"/>
      <c r="B44" s="21" t="s">
        <v>14</v>
      </c>
      <c r="C44" s="42">
        <f>(114/264.18)*1000000</f>
        <v>431523.96093572566</v>
      </c>
      <c r="D44" s="50">
        <v>86.39</v>
      </c>
      <c r="E44" s="43">
        <v>127518</v>
      </c>
      <c r="F44" s="43">
        <v>89077</v>
      </c>
    </row>
    <row r="45" spans="1:6" x14ac:dyDescent="0.2">
      <c r="A45" s="17"/>
      <c r="B45" s="21" t="s">
        <v>15</v>
      </c>
      <c r="C45" s="42">
        <f>(116/264.18)*1000000</f>
        <v>439094.55674161558</v>
      </c>
      <c r="D45" s="50">
        <v>89.36</v>
      </c>
      <c r="E45" s="43">
        <v>127278</v>
      </c>
      <c r="F45" s="43">
        <v>89077</v>
      </c>
    </row>
    <row r="46" spans="1:6" ht="24" customHeight="1" x14ac:dyDescent="0.2">
      <c r="A46" s="30" t="s">
        <v>18</v>
      </c>
      <c r="B46" s="30" t="s">
        <v>22</v>
      </c>
      <c r="C46" s="40">
        <f>AVERAGE(C47:C58)</f>
        <v>382438.11037928687</v>
      </c>
      <c r="D46" s="52">
        <f>AVERAGE(D47:D58)</f>
        <v>92.719999999999985</v>
      </c>
      <c r="E46" s="40">
        <f>AVERAGE(E47:E58)</f>
        <v>135110.5</v>
      </c>
      <c r="F46" s="40">
        <f>AVERAGE(F47:F58)</f>
        <v>35779.666666666664</v>
      </c>
    </row>
    <row r="47" spans="1:6" x14ac:dyDescent="0.2">
      <c r="A47" s="17"/>
      <c r="B47" s="21" t="s">
        <v>4</v>
      </c>
      <c r="C47" s="42">
        <f>(109.35/264.18)*1000000</f>
        <v>413922.32568703149</v>
      </c>
      <c r="D47" s="50">
        <v>97.33</v>
      </c>
      <c r="E47" s="43">
        <v>135325</v>
      </c>
      <c r="F47" s="43">
        <v>35428</v>
      </c>
    </row>
    <row r="48" spans="1:6" x14ac:dyDescent="0.2">
      <c r="A48" s="17"/>
      <c r="B48" s="21" t="s">
        <v>5</v>
      </c>
      <c r="C48" s="42">
        <f>(106.82/264.18)*1000000</f>
        <v>404345.52199258079</v>
      </c>
      <c r="D48" s="50">
        <v>96.72</v>
      </c>
      <c r="E48" s="43">
        <v>136134</v>
      </c>
      <c r="F48" s="43">
        <v>35500</v>
      </c>
    </row>
    <row r="49" spans="1:6" x14ac:dyDescent="0.2">
      <c r="A49" s="17"/>
      <c r="B49" s="21" t="s">
        <v>6</v>
      </c>
      <c r="C49" s="42">
        <f>(83.11/264.18)*1000000</f>
        <v>314596.10871375573</v>
      </c>
      <c r="D49" s="50">
        <v>92.89</v>
      </c>
      <c r="E49" s="43">
        <v>136181</v>
      </c>
      <c r="F49" s="43">
        <v>35538</v>
      </c>
    </row>
    <row r="50" spans="1:6" x14ac:dyDescent="0.2">
      <c r="A50" s="17"/>
      <c r="B50" s="21" t="s">
        <v>7</v>
      </c>
      <c r="C50" s="42">
        <f>(92.62/264.18)*1000000</f>
        <v>350594.29177076236</v>
      </c>
      <c r="D50" s="50">
        <v>96.63</v>
      </c>
      <c r="E50" s="43">
        <v>136289</v>
      </c>
      <c r="F50" s="43">
        <v>35620</v>
      </c>
    </row>
    <row r="51" spans="1:6" x14ac:dyDescent="0.2">
      <c r="A51" s="17"/>
      <c r="B51" s="21" t="s">
        <v>8</v>
      </c>
      <c r="C51" s="42">
        <f>(86.63/264.18)*1000000</f>
        <v>327920.35733212199</v>
      </c>
      <c r="D51" s="50">
        <v>87.37</v>
      </c>
      <c r="E51" s="43">
        <v>136345</v>
      </c>
      <c r="F51" s="43">
        <v>35722</v>
      </c>
    </row>
    <row r="52" spans="1:6" x14ac:dyDescent="0.2">
      <c r="A52" s="17"/>
      <c r="B52" s="21" t="s">
        <v>9</v>
      </c>
      <c r="C52" s="42">
        <f>(95.18/264.18)*1000000</f>
        <v>360284.65440230147</v>
      </c>
      <c r="D52" s="50">
        <v>88.12</v>
      </c>
      <c r="E52" s="43">
        <v>136379</v>
      </c>
      <c r="F52" s="43">
        <v>35800</v>
      </c>
    </row>
    <row r="53" spans="1:6" x14ac:dyDescent="0.2">
      <c r="A53" s="17"/>
      <c r="B53" s="21" t="s">
        <v>10</v>
      </c>
      <c r="C53" s="42">
        <f>(104.04/264.18)*1000000</f>
        <v>393822.39382239379</v>
      </c>
      <c r="D53" s="50">
        <v>90.49</v>
      </c>
      <c r="E53" s="43">
        <v>136413</v>
      </c>
      <c r="F53" s="43">
        <v>35871</v>
      </c>
    </row>
    <row r="54" spans="1:6" x14ac:dyDescent="0.2">
      <c r="A54" s="17"/>
      <c r="B54" s="21" t="s">
        <v>11</v>
      </c>
      <c r="C54" s="42">
        <f>(110.82/264.18)*1000000</f>
        <v>419486.71360436064</v>
      </c>
      <c r="D54" s="50">
        <v>94.55</v>
      </c>
      <c r="E54" s="43">
        <v>136426</v>
      </c>
      <c r="F54" s="43">
        <v>35953</v>
      </c>
    </row>
    <row r="55" spans="1:6" x14ac:dyDescent="0.2">
      <c r="A55" s="17"/>
      <c r="B55" s="21" t="s">
        <v>12</v>
      </c>
      <c r="C55" s="42">
        <f>(101.29/264.18)*1000000</f>
        <v>383412.8245892952</v>
      </c>
      <c r="D55" s="50">
        <v>95.38</v>
      </c>
      <c r="E55" s="43">
        <v>136432</v>
      </c>
      <c r="F55" s="43">
        <v>35981</v>
      </c>
    </row>
    <row r="56" spans="1:6" x14ac:dyDescent="0.2">
      <c r="A56" s="17"/>
      <c r="B56" s="21" t="s">
        <v>13</v>
      </c>
      <c r="C56" s="42">
        <f>(89.43/264.18)*1000000</f>
        <v>338519.19146036799</v>
      </c>
      <c r="D56" s="50">
        <v>82.42</v>
      </c>
      <c r="E56" s="43">
        <v>131816</v>
      </c>
      <c r="F56" s="43">
        <v>35981</v>
      </c>
    </row>
    <row r="57" spans="1:6" x14ac:dyDescent="0.2">
      <c r="A57" s="17"/>
      <c r="B57" s="21" t="s">
        <v>14</v>
      </c>
      <c r="C57" s="42">
        <f>(109.19/264.18)*1000000</f>
        <v>413316.67802256031</v>
      </c>
      <c r="D57" s="50">
        <v>95.45</v>
      </c>
      <c r="E57" s="43">
        <v>131816</v>
      </c>
      <c r="F57" s="43">
        <v>35981</v>
      </c>
    </row>
    <row r="58" spans="1:6" x14ac:dyDescent="0.2">
      <c r="A58" s="17"/>
      <c r="B58" s="21" t="s">
        <v>15</v>
      </c>
      <c r="C58" s="42">
        <f>(123.91/264.18)*1000000</f>
        <v>469036.26315391017</v>
      </c>
      <c r="D58" s="50">
        <v>95.29</v>
      </c>
      <c r="E58" s="43">
        <v>131770</v>
      </c>
      <c r="F58" s="43">
        <v>35981</v>
      </c>
    </row>
    <row r="59" spans="1:6" ht="24" customHeight="1" x14ac:dyDescent="0.2">
      <c r="A59" s="30" t="s">
        <v>19</v>
      </c>
      <c r="B59" s="30" t="s">
        <v>22</v>
      </c>
      <c r="C59" s="40">
        <f>AVERAGE(C60:C71)</f>
        <v>209292.275468746</v>
      </c>
      <c r="D59" s="52">
        <f>AVERAGE(D60:D71)</f>
        <v>78.89</v>
      </c>
      <c r="E59" s="40">
        <f>AVERAGE(E60:E71)</f>
        <v>44573.166666666664</v>
      </c>
      <c r="F59" s="40">
        <f>AVERAGE(F60:F71)</f>
        <v>10823.666666666666</v>
      </c>
    </row>
    <row r="60" spans="1:6" x14ac:dyDescent="0.2">
      <c r="A60" s="17"/>
      <c r="B60" s="21" t="s">
        <v>4</v>
      </c>
      <c r="C60" s="42">
        <f>(52.91/264.18)*1000000</f>
        <v>200280.11204481791</v>
      </c>
      <c r="D60" s="50">
        <v>93.61</v>
      </c>
      <c r="E60" s="43">
        <v>43663</v>
      </c>
      <c r="F60" s="43">
        <v>10054</v>
      </c>
    </row>
    <row r="61" spans="1:6" x14ac:dyDescent="0.2">
      <c r="A61" s="17"/>
      <c r="B61" s="21" t="s">
        <v>5</v>
      </c>
      <c r="C61" s="42">
        <f>(53.41/264.18)*1000000</f>
        <v>202172.7609962904</v>
      </c>
      <c r="D61" s="50">
        <v>86.82</v>
      </c>
      <c r="E61" s="43">
        <v>43766</v>
      </c>
      <c r="F61" s="43">
        <v>10121</v>
      </c>
    </row>
    <row r="62" spans="1:6" x14ac:dyDescent="0.2">
      <c r="A62" s="17"/>
      <c r="B62" s="21" t="s">
        <v>6</v>
      </c>
      <c r="C62" s="42">
        <f>(57.75/264.18)*1000000</f>
        <v>218600.95389507152</v>
      </c>
      <c r="D62" s="50">
        <v>78</v>
      </c>
      <c r="E62" s="43">
        <v>44052</v>
      </c>
      <c r="F62" s="43">
        <v>10408</v>
      </c>
    </row>
    <row r="63" spans="1:6" x14ac:dyDescent="0.2">
      <c r="A63" s="17"/>
      <c r="B63" s="21" t="s">
        <v>7</v>
      </c>
      <c r="C63" s="42">
        <f>(56.26/264.18)*1000000</f>
        <v>212960.86001968355</v>
      </c>
      <c r="D63" s="50">
        <v>81.64</v>
      </c>
      <c r="E63" s="43">
        <v>44817</v>
      </c>
      <c r="F63" s="43">
        <v>11028</v>
      </c>
    </row>
    <row r="64" spans="1:6" x14ac:dyDescent="0.2">
      <c r="A64" s="17"/>
      <c r="B64" s="21" t="s">
        <v>8</v>
      </c>
      <c r="C64" s="42">
        <f>(53.98/264.18)*1000000</f>
        <v>204330.38080096903</v>
      </c>
      <c r="D64" s="50">
        <v>82.43</v>
      </c>
      <c r="E64" s="43">
        <v>44818</v>
      </c>
      <c r="F64" s="43">
        <v>11031</v>
      </c>
    </row>
    <row r="65" spans="1:6" x14ac:dyDescent="0.2">
      <c r="A65" s="17"/>
      <c r="B65" s="21" t="s">
        <v>9</v>
      </c>
      <c r="C65" s="42">
        <f>(54.6/264.18)*1000000</f>
        <v>206677.26550079489</v>
      </c>
      <c r="D65" s="50">
        <v>71.650000000000006</v>
      </c>
      <c r="E65" s="43">
        <v>44819</v>
      </c>
      <c r="F65" s="43">
        <v>11031</v>
      </c>
    </row>
    <row r="66" spans="1:6" x14ac:dyDescent="0.2">
      <c r="A66" s="17"/>
      <c r="B66" s="21" t="s">
        <v>10</v>
      </c>
      <c r="C66" s="42">
        <f>(54.46/264.18)*1000000</f>
        <v>206147.3237943826</v>
      </c>
      <c r="D66" s="50">
        <v>85.14</v>
      </c>
      <c r="E66" s="43">
        <v>44835</v>
      </c>
      <c r="F66" s="43">
        <v>11040</v>
      </c>
    </row>
    <row r="67" spans="1:6" x14ac:dyDescent="0.2">
      <c r="A67" s="17"/>
      <c r="B67" s="21" t="s">
        <v>11</v>
      </c>
      <c r="C67" s="42">
        <f>(56.62/264.18)*1000000</f>
        <v>214323.56726474373</v>
      </c>
      <c r="D67" s="50">
        <v>74.430000000000007</v>
      </c>
      <c r="E67" s="43">
        <v>44828</v>
      </c>
      <c r="F67" s="43">
        <v>11039</v>
      </c>
    </row>
    <row r="68" spans="1:6" x14ac:dyDescent="0.2">
      <c r="A68" s="17"/>
      <c r="B68" s="21" t="s">
        <v>12</v>
      </c>
      <c r="C68" s="42">
        <f>(58.54/264.18)*1000000</f>
        <v>221591.33923839804</v>
      </c>
      <c r="D68" s="50">
        <v>64.36</v>
      </c>
      <c r="E68" s="43">
        <v>44819</v>
      </c>
      <c r="F68" s="43">
        <v>11033</v>
      </c>
    </row>
    <row r="69" spans="1:6" x14ac:dyDescent="0.2">
      <c r="A69" s="17"/>
      <c r="B69" s="21" t="s">
        <v>13</v>
      </c>
      <c r="C69" s="42">
        <f>(60.99/264.18)*1000000</f>
        <v>230865.31910061321</v>
      </c>
      <c r="D69" s="50">
        <v>77.58</v>
      </c>
      <c r="E69" s="43">
        <v>44820</v>
      </c>
      <c r="F69" s="43">
        <v>11033</v>
      </c>
    </row>
    <row r="70" spans="1:6" x14ac:dyDescent="0.2">
      <c r="A70" s="17"/>
      <c r="B70" s="21" t="s">
        <v>14</v>
      </c>
      <c r="C70" s="42">
        <f>(56.26/264.18)*1000000</f>
        <v>212960.86001968355</v>
      </c>
      <c r="D70" s="50">
        <v>79.08</v>
      </c>
      <c r="E70" s="43">
        <v>44820</v>
      </c>
      <c r="F70" s="43">
        <v>11033</v>
      </c>
    </row>
    <row r="71" spans="1:6" ht="15" customHeight="1" x14ac:dyDescent="0.2">
      <c r="A71" s="34"/>
      <c r="B71" s="26" t="s">
        <v>15</v>
      </c>
      <c r="C71" s="44">
        <f>(47.71/264.18)*1000000</f>
        <v>180596.56294950412</v>
      </c>
      <c r="D71" s="51">
        <v>71.94</v>
      </c>
      <c r="E71" s="45">
        <v>44821</v>
      </c>
      <c r="F71" s="45">
        <v>11033</v>
      </c>
    </row>
    <row r="72" spans="1:6" ht="15" customHeight="1" x14ac:dyDescent="0.2">
      <c r="A72" s="47" t="s">
        <v>63</v>
      </c>
      <c r="B72" s="62"/>
      <c r="C72" s="63"/>
      <c r="D72" s="64"/>
      <c r="E72" s="65"/>
      <c r="F72" s="65"/>
    </row>
    <row r="73" spans="1:6" ht="12.6" customHeight="1" x14ac:dyDescent="0.2">
      <c r="A73" s="77" t="s">
        <v>57</v>
      </c>
      <c r="B73" s="77"/>
      <c r="C73" s="77"/>
      <c r="D73" s="77"/>
      <c r="E73" s="77"/>
      <c r="F73" s="77"/>
    </row>
    <row r="74" spans="1:6" ht="10.9" customHeight="1" x14ac:dyDescent="0.2">
      <c r="A74" s="38" t="s">
        <v>58</v>
      </c>
      <c r="B74" s="37"/>
      <c r="C74" s="37"/>
      <c r="D74" s="37"/>
      <c r="E74" s="37"/>
      <c r="F74" s="37"/>
    </row>
    <row r="75" spans="1:6" ht="11.25" customHeight="1" x14ac:dyDescent="0.2">
      <c r="A75" s="77" t="s">
        <v>59</v>
      </c>
      <c r="B75" s="77"/>
      <c r="C75" s="77"/>
      <c r="D75" s="77"/>
      <c r="E75" s="77"/>
      <c r="F75" s="77"/>
    </row>
    <row r="76" spans="1:6" ht="11.25" customHeight="1" x14ac:dyDescent="0.2">
      <c r="A76" s="77" t="s">
        <v>60</v>
      </c>
      <c r="B76" s="77"/>
      <c r="C76" s="77"/>
      <c r="D76" s="77"/>
      <c r="E76" s="77"/>
      <c r="F76" s="77"/>
    </row>
    <row r="77" spans="1:6" ht="11.25" customHeight="1" x14ac:dyDescent="0.2">
      <c r="A77" s="80" t="s">
        <v>61</v>
      </c>
      <c r="B77" s="80"/>
      <c r="C77" s="80"/>
      <c r="D77" s="80"/>
      <c r="E77" s="80"/>
      <c r="F77" s="80"/>
    </row>
    <row r="78" spans="1:6" ht="11.25" customHeight="1" x14ac:dyDescent="0.2">
      <c r="A78" s="77" t="s">
        <v>24</v>
      </c>
      <c r="B78" s="77"/>
      <c r="C78" s="77"/>
      <c r="D78" s="77"/>
      <c r="E78" s="77"/>
      <c r="F78" s="77"/>
    </row>
    <row r="79" spans="1:6" x14ac:dyDescent="0.2">
      <c r="A79" s="38" t="s">
        <v>56</v>
      </c>
      <c r="B79" s="37"/>
      <c r="C79" s="37"/>
      <c r="D79" s="37"/>
      <c r="E79" s="37"/>
      <c r="F79" s="37"/>
    </row>
    <row r="80" spans="1:6" x14ac:dyDescent="0.2">
      <c r="A80" s="77" t="s">
        <v>23</v>
      </c>
      <c r="B80" s="77"/>
      <c r="C80" s="77"/>
      <c r="D80" s="77"/>
      <c r="E80" s="77"/>
      <c r="F80" s="77"/>
    </row>
  </sheetData>
  <mergeCells count="10">
    <mergeCell ref="A76:F76"/>
    <mergeCell ref="A77:F77"/>
    <mergeCell ref="A78:F78"/>
    <mergeCell ref="A80:F80"/>
    <mergeCell ref="A1:F1"/>
    <mergeCell ref="A4:A5"/>
    <mergeCell ref="B4:B5"/>
    <mergeCell ref="A73:F73"/>
    <mergeCell ref="A75:F75"/>
    <mergeCell ref="A2:F2"/>
  </mergeCells>
  <pageMargins left="0.7" right="0.7" top="0.75" bottom="0.75" header="0.3" footer="0.3"/>
  <ignoredErrors>
    <ignoredError sqref="D7:D18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50BE-1E6B-4365-9466-BA1F286EBE24}">
  <dimension ref="A1:K80"/>
  <sheetViews>
    <sheetView workbookViewId="0">
      <selection activeCell="C33" sqref="C33"/>
    </sheetView>
  </sheetViews>
  <sheetFormatPr baseColWidth="10" defaultColWidth="11.42578125" defaultRowHeight="12" x14ac:dyDescent="0.2"/>
  <cols>
    <col min="1" max="1" width="14.85546875" style="9" customWidth="1"/>
    <col min="2" max="2" width="17.140625" style="9" customWidth="1"/>
    <col min="3" max="3" width="18.5703125" style="9" customWidth="1"/>
    <col min="4" max="4" width="16.5703125" style="9" customWidth="1"/>
    <col min="5" max="6" width="20" style="9" customWidth="1"/>
    <col min="7" max="16384" width="11.42578125" style="9"/>
  </cols>
  <sheetData>
    <row r="1" spans="1:11" x14ac:dyDescent="0.2">
      <c r="A1" s="74"/>
      <c r="B1" s="74"/>
      <c r="C1" s="74"/>
      <c r="D1" s="74"/>
      <c r="E1" s="74"/>
      <c r="F1" s="74"/>
    </row>
    <row r="2" spans="1:11" ht="23.25" customHeight="1" x14ac:dyDescent="0.2">
      <c r="A2" s="78" t="s">
        <v>70</v>
      </c>
      <c r="B2" s="78"/>
      <c r="C2" s="78"/>
      <c r="D2" s="78"/>
      <c r="E2" s="78"/>
      <c r="F2" s="78"/>
      <c r="G2" s="67"/>
      <c r="H2" s="67"/>
      <c r="I2" s="67"/>
      <c r="J2" s="67"/>
      <c r="K2" s="67"/>
    </row>
    <row r="3" spans="1:11" x14ac:dyDescent="0.2">
      <c r="A3" s="17"/>
      <c r="B3" s="18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41</v>
      </c>
      <c r="E4" s="27" t="s">
        <v>42</v>
      </c>
      <c r="F4" s="27" t="s">
        <v>43</v>
      </c>
    </row>
    <row r="5" spans="1:11" ht="14.25" x14ac:dyDescent="0.2">
      <c r="A5" s="76"/>
      <c r="B5" s="76"/>
      <c r="C5" s="28" t="s">
        <v>32</v>
      </c>
      <c r="D5" s="28"/>
      <c r="E5" s="28"/>
      <c r="F5" s="28"/>
    </row>
    <row r="6" spans="1:11" ht="19.5" customHeight="1" x14ac:dyDescent="0.2">
      <c r="A6" s="39" t="s">
        <v>54</v>
      </c>
      <c r="B6" s="17"/>
      <c r="C6" s="40">
        <f>AVERAGE(C7:C18)</f>
        <v>1670751.6339869283</v>
      </c>
      <c r="D6" s="52">
        <f>AVERAGE(D7:D18)</f>
        <v>89.109375</v>
      </c>
      <c r="E6" s="40">
        <f>AVERAGE(E7:E18)</f>
        <v>417386.66666666669</v>
      </c>
      <c r="F6" s="40">
        <f>AVERAGE(F7:F18)</f>
        <v>208283.66666666666</v>
      </c>
      <c r="G6" s="66"/>
      <c r="H6" s="66"/>
      <c r="I6" s="66"/>
      <c r="J6" s="66"/>
      <c r="K6" s="66"/>
    </row>
    <row r="7" spans="1:11" ht="14.25" customHeight="1" x14ac:dyDescent="0.2">
      <c r="A7" s="31" t="s">
        <v>2</v>
      </c>
      <c r="B7" s="21" t="s">
        <v>4</v>
      </c>
      <c r="C7" s="40">
        <f>C21+C34+C47+C60</f>
        <v>1776364.5998940116</v>
      </c>
      <c r="D7" s="52">
        <f>AVERAGE(D21,D34,D47,D60)</f>
        <v>92.455000000000013</v>
      </c>
      <c r="E7" s="40">
        <f t="shared" ref="C7:F18" si="0">E21+E34+E47+E60</f>
        <v>415061</v>
      </c>
      <c r="F7" s="40">
        <f t="shared" si="0"/>
        <v>209370</v>
      </c>
      <c r="G7" s="61"/>
      <c r="H7" s="61"/>
      <c r="I7" s="61"/>
      <c r="J7" s="61"/>
      <c r="K7" s="61"/>
    </row>
    <row r="8" spans="1:11" x14ac:dyDescent="0.2">
      <c r="A8" s="17"/>
      <c r="B8" s="21" t="s">
        <v>5</v>
      </c>
      <c r="C8" s="40">
        <f t="shared" si="0"/>
        <v>1736429.7070179421</v>
      </c>
      <c r="D8" s="52">
        <f t="shared" ref="D8:D14" si="1">AVERAGE(D22,D35,D48,D61)</f>
        <v>92.97</v>
      </c>
      <c r="E8" s="40">
        <f t="shared" si="0"/>
        <v>415025</v>
      </c>
      <c r="F8" s="40">
        <f t="shared" si="0"/>
        <v>209356</v>
      </c>
      <c r="G8" s="61"/>
      <c r="H8" s="61"/>
      <c r="I8" s="61"/>
      <c r="J8" s="61"/>
      <c r="K8" s="61"/>
    </row>
    <row r="9" spans="1:11" x14ac:dyDescent="0.2">
      <c r="A9" s="17"/>
      <c r="B9" s="21" t="s">
        <v>6</v>
      </c>
      <c r="C9" s="40">
        <f t="shared" si="0"/>
        <v>1615110.9092285563</v>
      </c>
      <c r="D9" s="52">
        <f t="shared" si="1"/>
        <v>93.57</v>
      </c>
      <c r="E9" s="40">
        <f t="shared" si="0"/>
        <v>414290</v>
      </c>
      <c r="F9" s="40">
        <f t="shared" si="0"/>
        <v>209332</v>
      </c>
      <c r="G9" s="61"/>
      <c r="H9" s="61"/>
      <c r="I9" s="61"/>
      <c r="J9" s="61"/>
      <c r="K9" s="61"/>
    </row>
    <row r="10" spans="1:11" x14ac:dyDescent="0.2">
      <c r="A10" s="17"/>
      <c r="B10" s="21" t="s">
        <v>7</v>
      </c>
      <c r="C10" s="40">
        <f>C24+C37+C50+C63</f>
        <v>1597622.8329169503</v>
      </c>
      <c r="D10" s="52">
        <f t="shared" si="1"/>
        <v>94.477499999999992</v>
      </c>
      <c r="E10" s="40">
        <f t="shared" si="0"/>
        <v>417062</v>
      </c>
      <c r="F10" s="40">
        <f t="shared" si="0"/>
        <v>209312</v>
      </c>
      <c r="G10" s="61"/>
      <c r="H10" s="61"/>
      <c r="I10" s="61"/>
      <c r="J10" s="61"/>
      <c r="K10" s="61"/>
    </row>
    <row r="11" spans="1:11" x14ac:dyDescent="0.2">
      <c r="A11" s="17"/>
      <c r="B11" s="21" t="s">
        <v>8</v>
      </c>
      <c r="C11" s="40">
        <f t="shared" si="0"/>
        <v>1639753.1985767279</v>
      </c>
      <c r="D11" s="52">
        <f t="shared" si="1"/>
        <v>88.34</v>
      </c>
      <c r="E11" s="40">
        <f t="shared" si="0"/>
        <v>417081</v>
      </c>
      <c r="F11" s="40">
        <f t="shared" si="0"/>
        <v>209313</v>
      </c>
      <c r="G11" s="61"/>
      <c r="H11" s="61"/>
      <c r="I11" s="61"/>
      <c r="J11" s="61"/>
      <c r="K11" s="61"/>
    </row>
    <row r="12" spans="1:11" x14ac:dyDescent="0.2">
      <c r="A12" s="17"/>
      <c r="B12" s="21" t="s">
        <v>9</v>
      </c>
      <c r="C12" s="40">
        <f t="shared" si="0"/>
        <v>1699485.1994851993</v>
      </c>
      <c r="D12" s="52">
        <f t="shared" si="1"/>
        <v>87.32</v>
      </c>
      <c r="E12" s="40">
        <f t="shared" si="0"/>
        <v>417332</v>
      </c>
      <c r="F12" s="40">
        <f t="shared" si="0"/>
        <v>209257</v>
      </c>
      <c r="G12" s="61"/>
      <c r="H12" s="61"/>
      <c r="I12" s="61"/>
      <c r="J12" s="61"/>
      <c r="K12" s="61"/>
    </row>
    <row r="13" spans="1:11" x14ac:dyDescent="0.2">
      <c r="A13" s="17"/>
      <c r="B13" s="21" t="s">
        <v>10</v>
      </c>
      <c r="C13" s="40">
        <f t="shared" si="0"/>
        <v>1631955.4848966612</v>
      </c>
      <c r="D13" s="52">
        <f t="shared" si="1"/>
        <v>86.527500000000003</v>
      </c>
      <c r="E13" s="40">
        <f t="shared" si="0"/>
        <v>417448</v>
      </c>
      <c r="F13" s="40">
        <f t="shared" si="0"/>
        <v>209269</v>
      </c>
      <c r="G13" s="61"/>
      <c r="H13" s="61"/>
      <c r="I13" s="61"/>
      <c r="J13" s="61"/>
      <c r="K13" s="61"/>
    </row>
    <row r="14" spans="1:11" x14ac:dyDescent="0.2">
      <c r="A14" s="17"/>
      <c r="B14" s="21" t="s">
        <v>11</v>
      </c>
      <c r="C14" s="40">
        <f t="shared" si="0"/>
        <v>1675637.8226966462</v>
      </c>
      <c r="D14" s="52">
        <f t="shared" si="1"/>
        <v>87.567499999999995</v>
      </c>
      <c r="E14" s="40">
        <f t="shared" si="0"/>
        <v>417516</v>
      </c>
      <c r="F14" s="40">
        <f t="shared" si="0"/>
        <v>209169</v>
      </c>
      <c r="G14" s="61"/>
      <c r="H14" s="61"/>
      <c r="I14" s="61"/>
      <c r="J14" s="61"/>
      <c r="K14" s="61"/>
    </row>
    <row r="15" spans="1:11" x14ac:dyDescent="0.2">
      <c r="A15" s="17"/>
      <c r="B15" s="21" t="s">
        <v>12</v>
      </c>
      <c r="C15" s="40">
        <f>C29+C42+C55+C68</f>
        <v>1663222.0455749866</v>
      </c>
      <c r="D15" s="52">
        <f>AVERAGE(D29,D42,D55,D68)</f>
        <v>90.165000000000006</v>
      </c>
      <c r="E15" s="40">
        <f t="shared" si="0"/>
        <v>418528</v>
      </c>
      <c r="F15" s="40">
        <f t="shared" si="0"/>
        <v>209428</v>
      </c>
      <c r="G15" s="61"/>
      <c r="H15" s="61"/>
      <c r="I15" s="61"/>
      <c r="J15" s="61"/>
      <c r="K15" s="61"/>
    </row>
    <row r="16" spans="1:11" x14ac:dyDescent="0.2">
      <c r="A16" s="17"/>
      <c r="B16" s="21" t="s">
        <v>13</v>
      </c>
      <c r="C16" s="40">
        <f t="shared" si="0"/>
        <v>1654742.9782723899</v>
      </c>
      <c r="D16" s="52">
        <f t="shared" ref="D16:D17" si="2">AVERAGE(D30,D43,D56,D69)</f>
        <v>86.805000000000007</v>
      </c>
      <c r="E16" s="40">
        <f t="shared" si="0"/>
        <v>419368</v>
      </c>
      <c r="F16" s="40">
        <f t="shared" si="0"/>
        <v>209602</v>
      </c>
      <c r="G16" s="61"/>
      <c r="H16" s="61"/>
      <c r="I16" s="61"/>
      <c r="J16" s="61"/>
      <c r="K16" s="61"/>
    </row>
    <row r="17" spans="1:11" x14ac:dyDescent="0.2">
      <c r="A17" s="17"/>
      <c r="B17" s="21" t="s">
        <v>14</v>
      </c>
      <c r="C17" s="40">
        <f t="shared" si="0"/>
        <v>1688242.8647134528</v>
      </c>
      <c r="D17" s="52">
        <f t="shared" si="2"/>
        <v>83.317499999999995</v>
      </c>
      <c r="E17" s="40">
        <f t="shared" si="0"/>
        <v>420374</v>
      </c>
      <c r="F17" s="40">
        <f t="shared" si="0"/>
        <v>196740</v>
      </c>
      <c r="G17" s="61"/>
      <c r="H17" s="61"/>
      <c r="I17" s="61" t="s">
        <v>69</v>
      </c>
      <c r="J17" s="61"/>
      <c r="K17" s="61"/>
    </row>
    <row r="18" spans="1:11" x14ac:dyDescent="0.2">
      <c r="A18" s="17"/>
      <c r="B18" s="21" t="s">
        <v>15</v>
      </c>
      <c r="C18" s="40">
        <f t="shared" si="0"/>
        <v>1670451.9645696117</v>
      </c>
      <c r="D18" s="52">
        <f>AVERAGE(D32,D45,D58,D71)</f>
        <v>85.797499999999999</v>
      </c>
      <c r="E18" s="40">
        <f t="shared" si="0"/>
        <v>419555</v>
      </c>
      <c r="F18" s="40">
        <f t="shared" si="0"/>
        <v>209256</v>
      </c>
      <c r="G18" s="61"/>
      <c r="H18" s="61"/>
      <c r="I18" s="61"/>
      <c r="J18" s="61"/>
      <c r="K18" s="61"/>
    </row>
    <row r="19" spans="1:11" x14ac:dyDescent="0.2">
      <c r="A19" s="17"/>
      <c r="B19" s="21"/>
      <c r="C19" s="41"/>
      <c r="D19" s="41"/>
      <c r="E19" s="41"/>
      <c r="F19" s="41"/>
    </row>
    <row r="20" spans="1:11" ht="24" customHeight="1" x14ac:dyDescent="0.2">
      <c r="A20" s="30" t="s">
        <v>16</v>
      </c>
      <c r="B20" s="30" t="s">
        <v>22</v>
      </c>
      <c r="C20" s="40">
        <f>AVERAGE(C21:C32)</f>
        <v>531373.81078557554</v>
      </c>
      <c r="D20" s="52">
        <f>AVERAGE(D21:D32)</f>
        <v>95.148333333333326</v>
      </c>
      <c r="E20" s="40">
        <f>AVERAGE(E21:E32)</f>
        <v>105634.5</v>
      </c>
      <c r="F20" s="40">
        <f>AVERAGE(F21:F32)</f>
        <v>72839.833333333328</v>
      </c>
    </row>
    <row r="21" spans="1:11" x14ac:dyDescent="0.2">
      <c r="A21" s="17"/>
      <c r="B21" s="21" t="s">
        <v>4</v>
      </c>
      <c r="C21" s="42">
        <f>(148.71/264.18)*1000000</f>
        <v>562911.65114694531</v>
      </c>
      <c r="D21" s="50">
        <v>94.9</v>
      </c>
      <c r="E21" s="43">
        <v>105572</v>
      </c>
      <c r="F21" s="43">
        <v>72827</v>
      </c>
    </row>
    <row r="22" spans="1:11" x14ac:dyDescent="0.2">
      <c r="A22" s="17"/>
      <c r="B22" s="21" t="s">
        <v>5</v>
      </c>
      <c r="C22" s="42">
        <f>(148.42/264.18)*1000000</f>
        <v>561813.91475509107</v>
      </c>
      <c r="D22" s="50">
        <v>91.4</v>
      </c>
      <c r="E22" s="43">
        <v>105573</v>
      </c>
      <c r="F22" s="43">
        <v>72835</v>
      </c>
    </row>
    <row r="23" spans="1:11" x14ac:dyDescent="0.2">
      <c r="A23" s="17"/>
      <c r="B23" s="21" t="s">
        <v>6</v>
      </c>
      <c r="C23" s="42">
        <f>(141.16/264.18)*1000000</f>
        <v>534332.65197971079</v>
      </c>
      <c r="D23" s="50">
        <v>92.76</v>
      </c>
      <c r="E23" s="43">
        <v>105634</v>
      </c>
      <c r="F23" s="43">
        <v>72837</v>
      </c>
    </row>
    <row r="24" spans="1:11" x14ac:dyDescent="0.2">
      <c r="A24" s="17"/>
      <c r="B24" s="21" t="s">
        <v>7</v>
      </c>
      <c r="C24" s="42">
        <f>(137.33/264.18)*1000000</f>
        <v>519834.96101143165</v>
      </c>
      <c r="D24" s="50">
        <v>96.1</v>
      </c>
      <c r="E24" s="43">
        <v>105617</v>
      </c>
      <c r="F24" s="43">
        <v>72815</v>
      </c>
    </row>
    <row r="25" spans="1:11" x14ac:dyDescent="0.2">
      <c r="A25" s="17"/>
      <c r="B25" s="21" t="s">
        <v>8</v>
      </c>
      <c r="C25" s="42">
        <f>(137.95/264.18)*1000000</f>
        <v>522181.84571125737</v>
      </c>
      <c r="D25" s="50">
        <v>94.52</v>
      </c>
      <c r="E25" s="43">
        <v>105610</v>
      </c>
      <c r="F25" s="43">
        <v>72815</v>
      </c>
    </row>
    <row r="26" spans="1:11" x14ac:dyDescent="0.2">
      <c r="A26" s="17"/>
      <c r="B26" s="21" t="s">
        <v>9</v>
      </c>
      <c r="C26" s="42">
        <f>(142.4/264.18)*1000000</f>
        <v>539026.42137936247</v>
      </c>
      <c r="D26" s="50">
        <v>93.93</v>
      </c>
      <c r="E26" s="43">
        <v>105604</v>
      </c>
      <c r="F26" s="43">
        <v>72845</v>
      </c>
    </row>
    <row r="27" spans="1:11" x14ac:dyDescent="0.2">
      <c r="A27" s="17"/>
      <c r="B27" s="21" t="s">
        <v>10</v>
      </c>
      <c r="C27" s="42">
        <f>(140.29/264.18)*1000000</f>
        <v>531039.44280414865</v>
      </c>
      <c r="D27" s="50">
        <v>98.09</v>
      </c>
      <c r="E27" s="43">
        <v>105621</v>
      </c>
      <c r="F27" s="43">
        <v>72859</v>
      </c>
    </row>
    <row r="28" spans="1:11" x14ac:dyDescent="0.2">
      <c r="A28" s="17"/>
      <c r="B28" s="21" t="s">
        <v>11</v>
      </c>
      <c r="C28" s="42">
        <f>(143.79/264.18)*1000000</f>
        <v>544287.98546445603</v>
      </c>
      <c r="D28" s="50">
        <v>97.84</v>
      </c>
      <c r="E28" s="43">
        <v>105663</v>
      </c>
      <c r="F28" s="43">
        <v>72818</v>
      </c>
    </row>
    <row r="29" spans="1:11" x14ac:dyDescent="0.2">
      <c r="A29" s="17"/>
      <c r="B29" s="21" t="s">
        <v>12</v>
      </c>
      <c r="C29" s="42">
        <f>(136.61/264.18)*1000000</f>
        <v>517109.54652131122</v>
      </c>
      <c r="D29" s="50">
        <v>95.72</v>
      </c>
      <c r="E29" s="43">
        <v>105658</v>
      </c>
      <c r="F29" s="43">
        <v>72827</v>
      </c>
    </row>
    <row r="30" spans="1:11" x14ac:dyDescent="0.2">
      <c r="A30" s="17"/>
      <c r="B30" s="21" t="s">
        <v>13</v>
      </c>
      <c r="C30" s="42">
        <f>(131.31/264.18)*1000000</f>
        <v>497047.46763570292</v>
      </c>
      <c r="D30" s="50">
        <v>95.14</v>
      </c>
      <c r="E30" s="43">
        <v>105682</v>
      </c>
      <c r="F30" s="43">
        <v>72856</v>
      </c>
    </row>
    <row r="31" spans="1:11" x14ac:dyDescent="0.2">
      <c r="A31" s="17"/>
      <c r="B31" s="21" t="s">
        <v>14</v>
      </c>
      <c r="C31" s="42">
        <f>(136.22/264.18)*1000000</f>
        <v>515633.28033916268</v>
      </c>
      <c r="D31" s="50">
        <v>94.16</v>
      </c>
      <c r="E31" s="43">
        <v>105689</v>
      </c>
      <c r="F31" s="43">
        <v>72872</v>
      </c>
    </row>
    <row r="32" spans="1:11" x14ac:dyDescent="0.2">
      <c r="A32" s="17"/>
      <c r="B32" s="21" t="s">
        <v>15</v>
      </c>
      <c r="C32" s="42">
        <f>(140.35/264.18)*1000000</f>
        <v>531266.56067832536</v>
      </c>
      <c r="D32" s="50">
        <v>97.22</v>
      </c>
      <c r="E32" s="43">
        <v>105691</v>
      </c>
      <c r="F32" s="43">
        <v>72872</v>
      </c>
    </row>
    <row r="33" spans="1:6" ht="24" customHeight="1" x14ac:dyDescent="0.2">
      <c r="A33" s="30" t="s">
        <v>20</v>
      </c>
      <c r="B33" s="30" t="s">
        <v>22</v>
      </c>
      <c r="C33" s="40">
        <f>AVERAGE(C34:C45)</f>
        <v>456920.15544956713</v>
      </c>
      <c r="D33" s="52">
        <f>AVERAGE(D34:D45)</f>
        <v>91.448333333333338</v>
      </c>
      <c r="E33" s="40">
        <f>AVERAGE(E34:E45)</f>
        <v>127003.83333333333</v>
      </c>
      <c r="F33" s="40">
        <f>AVERAGE(F34:F45)</f>
        <v>89424.666666666672</v>
      </c>
    </row>
    <row r="34" spans="1:6" x14ac:dyDescent="0.2">
      <c r="A34" s="17"/>
      <c r="B34" s="21" t="s">
        <v>4</v>
      </c>
      <c r="C34" s="42">
        <f>(125.87/264.18)*1000000</f>
        <v>476455.44704368239</v>
      </c>
      <c r="D34" s="50">
        <v>93.13</v>
      </c>
      <c r="E34" s="43">
        <v>126984</v>
      </c>
      <c r="F34" s="43">
        <v>89529</v>
      </c>
    </row>
    <row r="35" spans="1:6" x14ac:dyDescent="0.2">
      <c r="A35" s="17"/>
      <c r="B35" s="21" t="s">
        <v>5</v>
      </c>
      <c r="C35" s="42">
        <f>(123.73/264.18)*1000000</f>
        <v>468354.90953138017</v>
      </c>
      <c r="D35" s="50">
        <v>89.78</v>
      </c>
      <c r="E35" s="43">
        <v>126957</v>
      </c>
      <c r="F35" s="43">
        <v>89507</v>
      </c>
    </row>
    <row r="36" spans="1:6" x14ac:dyDescent="0.2">
      <c r="A36" s="17"/>
      <c r="B36" s="21" t="s">
        <v>6</v>
      </c>
      <c r="C36" s="42">
        <f>(119.8/264.18)*1000000</f>
        <v>453478.68877280637</v>
      </c>
      <c r="D36" s="50">
        <v>93.02</v>
      </c>
      <c r="E36" s="43">
        <v>126962</v>
      </c>
      <c r="F36" s="43">
        <v>89481</v>
      </c>
    </row>
    <row r="37" spans="1:6" x14ac:dyDescent="0.2">
      <c r="A37" s="17"/>
      <c r="B37" s="21" t="s">
        <v>7</v>
      </c>
      <c r="C37" s="42">
        <f>(117.77/264.18)*1000000</f>
        <v>445794.53402982809</v>
      </c>
      <c r="D37" s="50">
        <v>92.44</v>
      </c>
      <c r="E37" s="43">
        <v>126964</v>
      </c>
      <c r="F37" s="43">
        <v>89483</v>
      </c>
    </row>
    <row r="38" spans="1:6" x14ac:dyDescent="0.2">
      <c r="A38" s="17"/>
      <c r="B38" s="21" t="s">
        <v>8</v>
      </c>
      <c r="C38" s="42">
        <f>(120.61/264.18)*1000000</f>
        <v>456544.7800741918</v>
      </c>
      <c r="D38" s="50">
        <v>93.22</v>
      </c>
      <c r="E38" s="43">
        <v>126967</v>
      </c>
      <c r="F38" s="43">
        <v>89484</v>
      </c>
    </row>
    <row r="39" spans="1:6" x14ac:dyDescent="0.2">
      <c r="A39" s="17"/>
      <c r="B39" s="21" t="s">
        <v>9</v>
      </c>
      <c r="C39" s="42">
        <f>(124.95/264.18)*1000000</f>
        <v>472972.97297297296</v>
      </c>
      <c r="D39" s="50">
        <v>90.03</v>
      </c>
      <c r="E39" s="43">
        <v>126977</v>
      </c>
      <c r="F39" s="43">
        <v>89397</v>
      </c>
    </row>
    <row r="40" spans="1:6" x14ac:dyDescent="0.2">
      <c r="A40" s="17"/>
      <c r="B40" s="21" t="s">
        <v>10</v>
      </c>
      <c r="C40" s="42">
        <f>(118.85/264.18)*1000000</f>
        <v>449882.65576500871</v>
      </c>
      <c r="D40" s="50">
        <v>95.6</v>
      </c>
      <c r="E40" s="43">
        <v>126978</v>
      </c>
      <c r="F40" s="43">
        <v>89396</v>
      </c>
    </row>
    <row r="41" spans="1:6" x14ac:dyDescent="0.2">
      <c r="A41" s="17"/>
      <c r="B41" s="21" t="s">
        <v>11</v>
      </c>
      <c r="C41" s="42">
        <f>(123.45/264.18)*1000000</f>
        <v>467295.02611855557</v>
      </c>
      <c r="D41" s="50">
        <v>95.43</v>
      </c>
      <c r="E41" s="43">
        <v>126999</v>
      </c>
      <c r="F41" s="43">
        <v>89337</v>
      </c>
    </row>
    <row r="42" spans="1:6" x14ac:dyDescent="0.2">
      <c r="A42" s="17"/>
      <c r="B42" s="21" t="s">
        <v>12</v>
      </c>
      <c r="C42" s="42">
        <f>(119.79/264.18)*1000000</f>
        <v>453440.83579377696</v>
      </c>
      <c r="D42" s="50">
        <v>95.64</v>
      </c>
      <c r="E42" s="43">
        <v>127027</v>
      </c>
      <c r="F42" s="43">
        <v>89367</v>
      </c>
    </row>
    <row r="43" spans="1:6" x14ac:dyDescent="0.2">
      <c r="A43" s="17"/>
      <c r="B43" s="21" t="s">
        <v>13</v>
      </c>
      <c r="C43" s="42">
        <f>(113.6/264.18)*1000000</f>
        <v>430009.84177454765</v>
      </c>
      <c r="D43" s="50">
        <v>89.66</v>
      </c>
      <c r="E43" s="43">
        <v>127016</v>
      </c>
      <c r="F43" s="43">
        <v>89372</v>
      </c>
    </row>
    <row r="44" spans="1:6" x14ac:dyDescent="0.2">
      <c r="A44" s="17"/>
      <c r="B44" s="21" t="s">
        <v>14</v>
      </c>
      <c r="C44" s="42">
        <f>(120.17/264.18)*1000000</f>
        <v>454879.24899689603</v>
      </c>
      <c r="D44" s="50">
        <v>80.37</v>
      </c>
      <c r="E44" s="43">
        <v>127107</v>
      </c>
      <c r="F44" s="43">
        <v>89373</v>
      </c>
    </row>
    <row r="45" spans="1:6" x14ac:dyDescent="0.2">
      <c r="A45" s="17"/>
      <c r="B45" s="21" t="s">
        <v>15</v>
      </c>
      <c r="C45" s="42">
        <f>(119.92/264.18)*1000000</f>
        <v>453932.92452115979</v>
      </c>
      <c r="D45" s="50">
        <v>89.06</v>
      </c>
      <c r="E45" s="43">
        <v>127108</v>
      </c>
      <c r="F45" s="43">
        <v>89370</v>
      </c>
    </row>
    <row r="46" spans="1:6" ht="24" customHeight="1" x14ac:dyDescent="0.2">
      <c r="A46" s="30" t="s">
        <v>18</v>
      </c>
      <c r="B46" s="30" t="s">
        <v>22</v>
      </c>
      <c r="C46" s="40">
        <f>AVERAGE(C47:C58)</f>
        <v>457973.73003255349</v>
      </c>
      <c r="D46" s="52">
        <f>AVERAGE(D47:D58)</f>
        <v>96.53083333333332</v>
      </c>
      <c r="E46" s="40">
        <f>AVERAGE(E47:E58)</f>
        <v>139184.5</v>
      </c>
      <c r="F46" s="40">
        <f>AVERAGE(F47:F58)</f>
        <v>35300.5</v>
      </c>
    </row>
    <row r="47" spans="1:6" x14ac:dyDescent="0.2">
      <c r="A47" s="17"/>
      <c r="B47" s="21" t="s">
        <v>4</v>
      </c>
      <c r="C47" s="42">
        <f>(138.75/264.18)*1000000</f>
        <v>525210.08403361344</v>
      </c>
      <c r="D47" s="50">
        <v>98.26</v>
      </c>
      <c r="E47" s="43">
        <v>137682</v>
      </c>
      <c r="F47" s="43">
        <v>35981</v>
      </c>
    </row>
    <row r="48" spans="1:6" x14ac:dyDescent="0.2">
      <c r="A48" s="17"/>
      <c r="B48" s="21" t="s">
        <v>5</v>
      </c>
      <c r="C48" s="42">
        <f>(124.25/264.18)*1000000</f>
        <v>470323.26444091147</v>
      </c>
      <c r="D48" s="50">
        <v>97.97</v>
      </c>
      <c r="E48" s="43">
        <v>137672</v>
      </c>
      <c r="F48" s="43">
        <v>35981</v>
      </c>
    </row>
    <row r="49" spans="1:6" x14ac:dyDescent="0.2">
      <c r="A49" s="17"/>
      <c r="B49" s="21" t="s">
        <v>6</v>
      </c>
      <c r="C49" s="42">
        <f>(104.55/264.18)*1000000</f>
        <v>395752.89575289574</v>
      </c>
      <c r="D49" s="50">
        <v>99.37</v>
      </c>
      <c r="E49" s="43">
        <v>136417</v>
      </c>
      <c r="F49" s="43">
        <v>35981</v>
      </c>
    </row>
    <row r="50" spans="1:6" x14ac:dyDescent="0.2">
      <c r="A50" s="17"/>
      <c r="B50" s="21" t="s">
        <v>7</v>
      </c>
      <c r="C50" s="42">
        <f>(108.34/264.18)*1000000</f>
        <v>410099.17480505712</v>
      </c>
      <c r="D50" s="50">
        <v>98.92</v>
      </c>
      <c r="E50" s="43">
        <v>139203</v>
      </c>
      <c r="F50" s="43">
        <v>35981</v>
      </c>
    </row>
    <row r="51" spans="1:6" x14ac:dyDescent="0.2">
      <c r="A51" s="17"/>
      <c r="B51" s="21" t="s">
        <v>8</v>
      </c>
      <c r="C51" s="42">
        <f>(119.94/264.18)*1000000</f>
        <v>454008.63047921867</v>
      </c>
      <c r="D51" s="50">
        <v>94.3</v>
      </c>
      <c r="E51" s="43">
        <v>139226</v>
      </c>
      <c r="F51" s="43">
        <v>35981</v>
      </c>
    </row>
    <row r="52" spans="1:6" x14ac:dyDescent="0.2">
      <c r="A52" s="17"/>
      <c r="B52" s="21" t="s">
        <v>9</v>
      </c>
      <c r="C52" s="42">
        <f>(127.38/264.18)*1000000</f>
        <v>482171.24687712919</v>
      </c>
      <c r="D52" s="50">
        <v>97.82</v>
      </c>
      <c r="E52" s="43">
        <v>139352</v>
      </c>
      <c r="F52" s="43">
        <v>35982</v>
      </c>
    </row>
    <row r="53" spans="1:6" x14ac:dyDescent="0.2">
      <c r="A53" s="17"/>
      <c r="B53" s="21" t="s">
        <v>10</v>
      </c>
      <c r="C53" s="42">
        <f>(118.22/264.18)*1000000</f>
        <v>447497.91808615334</v>
      </c>
      <c r="D53" s="50">
        <v>97.42</v>
      </c>
      <c r="E53" s="43">
        <v>139417</v>
      </c>
      <c r="F53" s="43">
        <v>35981</v>
      </c>
    </row>
    <row r="54" spans="1:6" x14ac:dyDescent="0.2">
      <c r="A54" s="17"/>
      <c r="B54" s="21" t="s">
        <v>11</v>
      </c>
      <c r="C54" s="42">
        <f>(118.8/264.18)*1000000</f>
        <v>449693.39086986141</v>
      </c>
      <c r="D54" s="50">
        <v>95.98</v>
      </c>
      <c r="E54" s="43">
        <v>139414</v>
      </c>
      <c r="F54" s="43">
        <v>35981</v>
      </c>
    </row>
    <row r="55" spans="1:6" x14ac:dyDescent="0.2">
      <c r="A55" s="17"/>
      <c r="B55" s="21" t="s">
        <v>12</v>
      </c>
      <c r="C55" s="42">
        <f>(118.21/264.18)*1000000</f>
        <v>447460.06510712387</v>
      </c>
      <c r="D55" s="50">
        <v>99.48</v>
      </c>
      <c r="E55" s="43">
        <v>140206</v>
      </c>
      <c r="F55" s="43">
        <v>36180</v>
      </c>
    </row>
    <row r="56" spans="1:6" x14ac:dyDescent="0.2">
      <c r="A56" s="17"/>
      <c r="B56" s="21" t="s">
        <v>13</v>
      </c>
      <c r="C56" s="42">
        <f>(127.61/264.18)*1000000</f>
        <v>483041.86539480655</v>
      </c>
      <c r="D56" s="50">
        <v>94.02</v>
      </c>
      <c r="E56" s="43">
        <v>140543</v>
      </c>
      <c r="F56" s="43">
        <v>36309</v>
      </c>
    </row>
    <row r="57" spans="1:6" x14ac:dyDescent="0.2">
      <c r="A57" s="17"/>
      <c r="B57" s="21" t="s">
        <v>14</v>
      </c>
      <c r="C57" s="42">
        <f>(125.96/264.18)*1000000</f>
        <v>476796.12385494733</v>
      </c>
      <c r="D57" s="50">
        <v>90.98</v>
      </c>
      <c r="E57" s="43">
        <v>140562</v>
      </c>
      <c r="F57" s="43">
        <v>27287</v>
      </c>
    </row>
    <row r="58" spans="1:6" x14ac:dyDescent="0.2">
      <c r="A58" s="17"/>
      <c r="B58" s="21" t="s">
        <v>15</v>
      </c>
      <c r="C58" s="42">
        <f>(119.84/264.18)*1000000</f>
        <v>453630.10068892426</v>
      </c>
      <c r="D58" s="50">
        <v>93.85</v>
      </c>
      <c r="E58" s="43">
        <v>140520</v>
      </c>
      <c r="F58" s="43">
        <v>35981</v>
      </c>
    </row>
    <row r="59" spans="1:6" ht="24" customHeight="1" x14ac:dyDescent="0.2">
      <c r="A59" s="30" t="s">
        <v>19</v>
      </c>
      <c r="B59" s="30" t="s">
        <v>22</v>
      </c>
      <c r="C59" s="40">
        <f>AVERAGE(C60:C71)</f>
        <v>224483.93771923185</v>
      </c>
      <c r="D59" s="52">
        <f>AVERAGE(D60:D71)</f>
        <v>73.31</v>
      </c>
      <c r="E59" s="40">
        <f>AVERAGE(E60:E71)</f>
        <v>45563.833333333336</v>
      </c>
      <c r="F59" s="40">
        <f>AVERAGE(F60:F71)</f>
        <v>10718.666666666666</v>
      </c>
    </row>
    <row r="60" spans="1:6" x14ac:dyDescent="0.2">
      <c r="A60" s="17"/>
      <c r="B60" s="21" t="s">
        <v>4</v>
      </c>
      <c r="C60" s="42">
        <f>(55.95/264.18)*1000000</f>
        <v>211787.4176697706</v>
      </c>
      <c r="D60" s="50">
        <v>83.53</v>
      </c>
      <c r="E60" s="43">
        <v>44823</v>
      </c>
      <c r="F60" s="43">
        <v>11033</v>
      </c>
    </row>
    <row r="61" spans="1:6" x14ac:dyDescent="0.2">
      <c r="A61" s="17"/>
      <c r="B61" s="21" t="s">
        <v>5</v>
      </c>
      <c r="C61" s="42">
        <f>(62.33/264.18)*1000000</f>
        <v>235937.61829055945</v>
      </c>
      <c r="D61" s="50">
        <v>92.73</v>
      </c>
      <c r="E61" s="43">
        <v>44823</v>
      </c>
      <c r="F61" s="43">
        <v>11033</v>
      </c>
    </row>
    <row r="62" spans="1:6" x14ac:dyDescent="0.2">
      <c r="A62" s="17"/>
      <c r="B62" s="21" t="s">
        <v>6</v>
      </c>
      <c r="C62" s="42">
        <f>(61.17/264.18)*1000000</f>
        <v>231546.6727231433</v>
      </c>
      <c r="D62" s="50">
        <v>89.13</v>
      </c>
      <c r="E62" s="43">
        <v>45277</v>
      </c>
      <c r="F62" s="43">
        <v>11033</v>
      </c>
    </row>
    <row r="63" spans="1:6" x14ac:dyDescent="0.2">
      <c r="A63" s="17"/>
      <c r="B63" s="21" t="s">
        <v>7</v>
      </c>
      <c r="C63" s="42">
        <f>(58.62/264.18)*1000000</f>
        <v>221894.16307063363</v>
      </c>
      <c r="D63" s="50">
        <v>90.45</v>
      </c>
      <c r="E63" s="43">
        <v>45278</v>
      </c>
      <c r="F63" s="43">
        <v>11033</v>
      </c>
    </row>
    <row r="64" spans="1:6" x14ac:dyDescent="0.2">
      <c r="A64" s="17"/>
      <c r="B64" s="21" t="s">
        <v>8</v>
      </c>
      <c r="C64" s="42">
        <f>(54.69/264.18)*1000000</f>
        <v>207017.94231205995</v>
      </c>
      <c r="D64" s="50">
        <v>71.319999999999993</v>
      </c>
      <c r="E64" s="43">
        <v>45278</v>
      </c>
      <c r="F64" s="43">
        <v>11033</v>
      </c>
    </row>
    <row r="65" spans="1:6" x14ac:dyDescent="0.2">
      <c r="A65" s="17"/>
      <c r="B65" s="21" t="s">
        <v>9</v>
      </c>
      <c r="C65" s="42">
        <f>(54.24/264.18)*1000000</f>
        <v>205314.55825573471</v>
      </c>
      <c r="D65" s="50">
        <v>67.5</v>
      </c>
      <c r="E65" s="43">
        <v>45399</v>
      </c>
      <c r="F65" s="43">
        <v>11033</v>
      </c>
    </row>
    <row r="66" spans="1:6" x14ac:dyDescent="0.2">
      <c r="A66" s="17"/>
      <c r="B66" s="21" t="s">
        <v>10</v>
      </c>
      <c r="C66" s="42">
        <f>(53.77/264.18)*1000000</f>
        <v>203535.46824135061</v>
      </c>
      <c r="D66" s="50">
        <v>55</v>
      </c>
      <c r="E66" s="43">
        <v>45432</v>
      </c>
      <c r="F66" s="43">
        <v>11033</v>
      </c>
    </row>
    <row r="67" spans="1:6" x14ac:dyDescent="0.2">
      <c r="A67" s="17"/>
      <c r="B67" s="21" t="s">
        <v>11</v>
      </c>
      <c r="C67" s="42">
        <f>(56.63/264.18)*1000000</f>
        <v>214361.4202437732</v>
      </c>
      <c r="D67" s="50">
        <v>61.02</v>
      </c>
      <c r="E67" s="43">
        <v>45440</v>
      </c>
      <c r="F67" s="43">
        <v>11033</v>
      </c>
    </row>
    <row r="68" spans="1:6" x14ac:dyDescent="0.2">
      <c r="A68" s="17"/>
      <c r="B68" s="21" t="s">
        <v>12</v>
      </c>
      <c r="C68" s="42">
        <f>(64.78/264.18)*1000000</f>
        <v>245211.59815277462</v>
      </c>
      <c r="D68" s="50">
        <v>69.819999999999993</v>
      </c>
      <c r="E68" s="43">
        <v>45637</v>
      </c>
      <c r="F68" s="43">
        <v>11054</v>
      </c>
    </row>
    <row r="69" spans="1:6" x14ac:dyDescent="0.2">
      <c r="A69" s="17"/>
      <c r="B69" s="21" t="s">
        <v>13</v>
      </c>
      <c r="C69" s="42">
        <f>(64.63/264.18)*1000000</f>
        <v>244643.80346733285</v>
      </c>
      <c r="D69" s="50">
        <v>68.400000000000006</v>
      </c>
      <c r="E69" s="43">
        <v>46127</v>
      </c>
      <c r="F69" s="43">
        <v>11065</v>
      </c>
    </row>
    <row r="70" spans="1:6" x14ac:dyDescent="0.2">
      <c r="A70" s="17"/>
      <c r="B70" s="21" t="s">
        <v>14</v>
      </c>
      <c r="C70" s="42">
        <f>(63.65/264.18)*1000000</f>
        <v>240934.21152244683</v>
      </c>
      <c r="D70" s="50">
        <v>67.760000000000005</v>
      </c>
      <c r="E70" s="43">
        <v>47016</v>
      </c>
      <c r="F70" s="43">
        <v>7208</v>
      </c>
    </row>
    <row r="71" spans="1:6" ht="15" customHeight="1" x14ac:dyDescent="0.2">
      <c r="A71" s="34"/>
      <c r="B71" s="26" t="s">
        <v>15</v>
      </c>
      <c r="C71" s="44">
        <f>(61.19/264.18)*1000000</f>
        <v>231622.37868120219</v>
      </c>
      <c r="D71" s="51">
        <v>63.06</v>
      </c>
      <c r="E71" s="45">
        <v>46236</v>
      </c>
      <c r="F71" s="45">
        <v>11033</v>
      </c>
    </row>
    <row r="72" spans="1:6" ht="15" customHeight="1" x14ac:dyDescent="0.2">
      <c r="A72" s="47" t="s">
        <v>63</v>
      </c>
      <c r="B72" s="62"/>
      <c r="C72" s="63"/>
      <c r="D72" s="64"/>
      <c r="E72" s="65"/>
      <c r="F72" s="65"/>
    </row>
    <row r="73" spans="1:6" ht="12.6" customHeight="1" x14ac:dyDescent="0.2">
      <c r="A73" s="77" t="s">
        <v>57</v>
      </c>
      <c r="B73" s="77"/>
      <c r="C73" s="77"/>
      <c r="D73" s="77"/>
      <c r="E73" s="77"/>
      <c r="F73" s="77"/>
    </row>
    <row r="74" spans="1:6" ht="10.9" customHeight="1" x14ac:dyDescent="0.2">
      <c r="A74" s="38" t="s">
        <v>58</v>
      </c>
      <c r="B74" s="37"/>
      <c r="C74" s="37"/>
      <c r="D74" s="37"/>
      <c r="E74" s="37"/>
      <c r="F74" s="37"/>
    </row>
    <row r="75" spans="1:6" ht="11.25" customHeight="1" x14ac:dyDescent="0.2">
      <c r="A75" s="77" t="s">
        <v>59</v>
      </c>
      <c r="B75" s="77"/>
      <c r="C75" s="77"/>
      <c r="D75" s="77"/>
      <c r="E75" s="77"/>
      <c r="F75" s="77"/>
    </row>
    <row r="76" spans="1:6" ht="11.25" customHeight="1" x14ac:dyDescent="0.2">
      <c r="A76" s="77" t="s">
        <v>60</v>
      </c>
      <c r="B76" s="77"/>
      <c r="C76" s="77"/>
      <c r="D76" s="77"/>
      <c r="E76" s="77"/>
      <c r="F76" s="77"/>
    </row>
    <row r="77" spans="1:6" ht="11.25" customHeight="1" x14ac:dyDescent="0.2">
      <c r="A77" s="80" t="s">
        <v>61</v>
      </c>
      <c r="B77" s="80"/>
      <c r="C77" s="80"/>
      <c r="D77" s="80"/>
      <c r="E77" s="80"/>
      <c r="F77" s="80"/>
    </row>
    <row r="78" spans="1:6" ht="11.25" customHeight="1" x14ac:dyDescent="0.2">
      <c r="A78" s="77" t="s">
        <v>24</v>
      </c>
      <c r="B78" s="77"/>
      <c r="C78" s="77"/>
      <c r="D78" s="77"/>
      <c r="E78" s="77"/>
      <c r="F78" s="77"/>
    </row>
    <row r="79" spans="1:6" x14ac:dyDescent="0.2">
      <c r="A79" s="38" t="s">
        <v>56</v>
      </c>
      <c r="B79" s="37"/>
      <c r="C79" s="37"/>
      <c r="D79" s="37"/>
      <c r="E79" s="37"/>
      <c r="F79" s="37"/>
    </row>
    <row r="80" spans="1:6" x14ac:dyDescent="0.2">
      <c r="A80" s="77" t="s">
        <v>23</v>
      </c>
      <c r="B80" s="77"/>
      <c r="C80" s="77"/>
      <c r="D80" s="77"/>
      <c r="E80" s="77"/>
      <c r="F80" s="77"/>
    </row>
  </sheetData>
  <mergeCells count="10">
    <mergeCell ref="A76:F76"/>
    <mergeCell ref="A77:F77"/>
    <mergeCell ref="A78:F78"/>
    <mergeCell ref="A80:F80"/>
    <mergeCell ref="A1:F1"/>
    <mergeCell ref="A4:A5"/>
    <mergeCell ref="B4:B5"/>
    <mergeCell ref="A73:F73"/>
    <mergeCell ref="A75:F75"/>
    <mergeCell ref="A2:F2"/>
  </mergeCells>
  <pageMargins left="0.7" right="0.7" top="0.75" bottom="0.75" header="0.3" footer="0.3"/>
  <ignoredErrors>
    <ignoredError sqref="D7:D18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FA0E-ABDA-4A4B-B078-F49D580C6B95}">
  <dimension ref="A1:K81"/>
  <sheetViews>
    <sheetView tabSelected="1" workbookViewId="0">
      <selection activeCell="H6" sqref="H6"/>
    </sheetView>
  </sheetViews>
  <sheetFormatPr baseColWidth="10" defaultColWidth="11.42578125" defaultRowHeight="12" x14ac:dyDescent="0.2"/>
  <cols>
    <col min="1" max="1" width="14.85546875" style="9" customWidth="1"/>
    <col min="2" max="2" width="17.140625" style="9" customWidth="1"/>
    <col min="3" max="3" width="18.5703125" style="9" customWidth="1"/>
    <col min="4" max="4" width="16.5703125" style="9" customWidth="1"/>
    <col min="5" max="6" width="20" style="9" customWidth="1"/>
    <col min="7" max="16384" width="11.42578125" style="9"/>
  </cols>
  <sheetData>
    <row r="1" spans="1:11" x14ac:dyDescent="0.2">
      <c r="A1" s="74"/>
      <c r="B1" s="74"/>
      <c r="C1" s="74"/>
      <c r="D1" s="74"/>
      <c r="E1" s="74"/>
      <c r="F1" s="74"/>
    </row>
    <row r="2" spans="1:11" ht="23.25" customHeight="1" x14ac:dyDescent="0.2">
      <c r="A2" s="78" t="s">
        <v>71</v>
      </c>
      <c r="B2" s="78"/>
      <c r="C2" s="78"/>
      <c r="D2" s="78"/>
      <c r="E2" s="78"/>
      <c r="F2" s="78"/>
      <c r="G2" s="67"/>
      <c r="H2" s="67"/>
      <c r="I2" s="67"/>
      <c r="J2" s="67"/>
      <c r="K2" s="67"/>
    </row>
    <row r="3" spans="1:11" x14ac:dyDescent="0.2">
      <c r="A3" s="17"/>
      <c r="B3" s="18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41</v>
      </c>
      <c r="E4" s="27" t="s">
        <v>42</v>
      </c>
      <c r="F4" s="27" t="s">
        <v>43</v>
      </c>
    </row>
    <row r="5" spans="1:11" ht="14.25" x14ac:dyDescent="0.2">
      <c r="A5" s="76"/>
      <c r="B5" s="76"/>
      <c r="C5" s="28" t="s">
        <v>32</v>
      </c>
      <c r="D5" s="28"/>
      <c r="E5" s="28"/>
      <c r="F5" s="28"/>
    </row>
    <row r="6" spans="1:11" ht="19.5" customHeight="1" x14ac:dyDescent="0.2">
      <c r="A6" s="39" t="s">
        <v>54</v>
      </c>
      <c r="B6" s="17"/>
      <c r="C6" s="40">
        <f>AVERAGE(C7:C16)</f>
        <v>1652326.8226209402</v>
      </c>
      <c r="D6" s="52">
        <f>AVERAGE(D7:D16)</f>
        <v>87.97175</v>
      </c>
      <c r="E6" s="40">
        <f>AVERAGE(E8:E16)</f>
        <v>425906.33333333331</v>
      </c>
      <c r="F6" s="40">
        <f>AVERAGE(F8:F16)</f>
        <v>247596.77777777778</v>
      </c>
      <c r="G6" s="66"/>
      <c r="H6" s="66"/>
      <c r="I6" s="66"/>
      <c r="J6" s="66"/>
      <c r="K6" s="66"/>
    </row>
    <row r="7" spans="1:11" ht="14.25" customHeight="1" x14ac:dyDescent="0.2">
      <c r="A7" s="31" t="s">
        <v>2</v>
      </c>
      <c r="B7" s="21" t="s">
        <v>4</v>
      </c>
      <c r="C7" s="40">
        <f>C21+C34+C47+C60</f>
        <v>1719573.7754561282</v>
      </c>
      <c r="D7" s="52">
        <f>AVERAGE(D21,D34,D47,D60)</f>
        <v>88.23</v>
      </c>
      <c r="E7" s="40" t="s">
        <v>72</v>
      </c>
      <c r="F7" s="40" t="s">
        <v>72</v>
      </c>
      <c r="G7" s="61"/>
      <c r="H7" s="61"/>
      <c r="I7" s="61"/>
      <c r="J7" s="61"/>
      <c r="K7" s="61"/>
    </row>
    <row r="8" spans="1:11" x14ac:dyDescent="0.2">
      <c r="A8" s="17"/>
      <c r="B8" s="21" t="s">
        <v>5</v>
      </c>
      <c r="C8" s="40">
        <f t="shared" ref="C8:F18" si="0">C22+C35+C48+C61</f>
        <v>1728105.0798697858</v>
      </c>
      <c r="D8" s="52">
        <f t="shared" ref="D8:D14" si="1">AVERAGE(D22,D35,D48,D61)</f>
        <v>89.452499999999986</v>
      </c>
      <c r="E8" s="40">
        <f t="shared" si="0"/>
        <v>424360</v>
      </c>
      <c r="F8" s="40">
        <f t="shared" si="0"/>
        <v>363393</v>
      </c>
      <c r="G8" s="61"/>
      <c r="H8" s="61"/>
      <c r="I8" s="61"/>
      <c r="J8" s="61"/>
      <c r="K8" s="61"/>
    </row>
    <row r="9" spans="1:11" x14ac:dyDescent="0.2">
      <c r="A9" s="17"/>
      <c r="B9" s="21" t="s">
        <v>6</v>
      </c>
      <c r="C9" s="40">
        <f t="shared" si="0"/>
        <v>1664962.1470209705</v>
      </c>
      <c r="D9" s="52">
        <f t="shared" si="1"/>
        <v>92.162500000000009</v>
      </c>
      <c r="E9" s="40">
        <f t="shared" si="0"/>
        <v>424351</v>
      </c>
      <c r="F9" s="40">
        <f t="shared" si="0"/>
        <v>376935</v>
      </c>
      <c r="G9" s="61"/>
      <c r="H9" s="61"/>
      <c r="I9" s="61"/>
      <c r="J9" s="61"/>
      <c r="K9" s="61"/>
    </row>
    <row r="10" spans="1:11" x14ac:dyDescent="0.2">
      <c r="A10" s="17"/>
      <c r="B10" s="21" t="s">
        <v>7</v>
      </c>
      <c r="C10" s="40">
        <f>C24+C37+C50+C63</f>
        <v>1651204.1032629269</v>
      </c>
      <c r="D10" s="52">
        <f t="shared" si="1"/>
        <v>87.807500000000005</v>
      </c>
      <c r="E10" s="40">
        <f t="shared" si="0"/>
        <v>423199</v>
      </c>
      <c r="F10" s="40">
        <f t="shared" si="0"/>
        <v>211944</v>
      </c>
      <c r="G10" s="61"/>
      <c r="H10" s="61"/>
      <c r="I10" s="61"/>
      <c r="J10" s="61"/>
      <c r="K10" s="61"/>
    </row>
    <row r="11" spans="1:11" x14ac:dyDescent="0.2">
      <c r="A11" s="17"/>
      <c r="B11" s="21" t="s">
        <v>8</v>
      </c>
      <c r="C11" s="40">
        <f t="shared" si="0"/>
        <v>1616707.5478840184</v>
      </c>
      <c r="D11" s="52">
        <f t="shared" si="1"/>
        <v>87.552500000000009</v>
      </c>
      <c r="E11" s="40">
        <f t="shared" si="0"/>
        <v>425862</v>
      </c>
      <c r="F11" s="40">
        <f t="shared" si="0"/>
        <v>213916</v>
      </c>
      <c r="G11" s="61"/>
      <c r="H11" s="61"/>
      <c r="I11" s="61"/>
      <c r="J11" s="61"/>
      <c r="K11" s="61"/>
    </row>
    <row r="12" spans="1:11" x14ac:dyDescent="0.2">
      <c r="A12" s="17"/>
      <c r="B12" s="21" t="s">
        <v>9</v>
      </c>
      <c r="C12" s="40">
        <f t="shared" si="0"/>
        <v>1677302.9752441517</v>
      </c>
      <c r="D12" s="52">
        <f t="shared" si="1"/>
        <v>87.477499999999992</v>
      </c>
      <c r="E12" s="40">
        <f t="shared" si="0"/>
        <v>425921</v>
      </c>
      <c r="F12" s="40">
        <f t="shared" si="0"/>
        <v>212600</v>
      </c>
      <c r="G12" s="61"/>
      <c r="H12" s="61"/>
      <c r="I12" s="61"/>
      <c r="J12" s="61"/>
      <c r="K12" s="61"/>
    </row>
    <row r="13" spans="1:11" x14ac:dyDescent="0.2">
      <c r="A13" s="17"/>
      <c r="B13" s="21" t="s">
        <v>10</v>
      </c>
      <c r="C13" s="40">
        <f t="shared" si="0"/>
        <v>1642433.9465515937</v>
      </c>
      <c r="D13" s="52">
        <f t="shared" si="1"/>
        <v>86.254999999999981</v>
      </c>
      <c r="E13" s="40">
        <f t="shared" si="0"/>
        <v>426479</v>
      </c>
      <c r="F13" s="40">
        <f t="shared" si="0"/>
        <v>212069</v>
      </c>
      <c r="G13" s="61"/>
      <c r="H13" s="61"/>
      <c r="I13" s="61"/>
      <c r="J13" s="61"/>
      <c r="K13" s="61"/>
    </row>
    <row r="14" spans="1:11" x14ac:dyDescent="0.2">
      <c r="A14" s="17"/>
      <c r="B14" s="21" t="s">
        <v>11</v>
      </c>
      <c r="C14" s="40">
        <f t="shared" si="0"/>
        <v>1653753.8799303507</v>
      </c>
      <c r="D14" s="52">
        <f t="shared" si="1"/>
        <v>81.122500000000002</v>
      </c>
      <c r="E14" s="40">
        <f t="shared" si="0"/>
        <v>427094</v>
      </c>
      <c r="F14" s="40">
        <f t="shared" si="0"/>
        <v>212773</v>
      </c>
      <c r="G14" s="61"/>
      <c r="H14" s="61"/>
      <c r="I14" s="61"/>
      <c r="J14" s="61"/>
      <c r="K14" s="61"/>
    </row>
    <row r="15" spans="1:11" x14ac:dyDescent="0.2">
      <c r="A15" s="17"/>
      <c r="B15" s="21" t="s">
        <v>12</v>
      </c>
      <c r="C15" s="40">
        <f>C29+C42+C55+C68</f>
        <v>1587238.6251798016</v>
      </c>
      <c r="D15" s="52">
        <f>AVERAGE(D29,D42,D55,D68)</f>
        <v>91.527500000000003</v>
      </c>
      <c r="E15" s="40">
        <f t="shared" si="0"/>
        <v>427793</v>
      </c>
      <c r="F15" s="40">
        <f t="shared" si="0"/>
        <v>212144</v>
      </c>
      <c r="G15" s="61"/>
      <c r="H15" s="61"/>
      <c r="I15" s="61"/>
      <c r="J15" s="61"/>
      <c r="K15" s="61"/>
    </row>
    <row r="16" spans="1:11" x14ac:dyDescent="0.2">
      <c r="A16" s="17"/>
      <c r="B16" s="21" t="s">
        <v>13</v>
      </c>
      <c r="C16" s="40">
        <f t="shared" si="0"/>
        <v>1581986.1458096751</v>
      </c>
      <c r="D16" s="52">
        <f>AVERAGE(D30,D43,D56,D69)</f>
        <v>88.13</v>
      </c>
      <c r="E16" s="40">
        <f t="shared" si="0"/>
        <v>428098</v>
      </c>
      <c r="F16" s="40">
        <f t="shared" si="0"/>
        <v>212597</v>
      </c>
      <c r="G16" s="61"/>
      <c r="H16" s="61"/>
      <c r="I16" s="61"/>
      <c r="J16" s="61"/>
      <c r="K16" s="61"/>
    </row>
    <row r="17" spans="1:11" x14ac:dyDescent="0.2">
      <c r="A17" s="17"/>
      <c r="B17" s="21" t="s">
        <v>14</v>
      </c>
      <c r="C17" s="40">
        <f t="shared" si="0"/>
        <v>0</v>
      </c>
      <c r="D17" s="52" t="e">
        <f t="shared" ref="D17" si="2">AVERAGE(D31,D44,D57,D70)</f>
        <v>#DIV/0!</v>
      </c>
      <c r="E17" s="40">
        <f t="shared" si="0"/>
        <v>0</v>
      </c>
      <c r="F17" s="40">
        <f t="shared" si="0"/>
        <v>0</v>
      </c>
      <c r="G17" s="61"/>
      <c r="H17" s="61"/>
      <c r="I17" s="61" t="s">
        <v>69</v>
      </c>
      <c r="J17" s="61"/>
      <c r="K17" s="61"/>
    </row>
    <row r="18" spans="1:11" x14ac:dyDescent="0.2">
      <c r="A18" s="17"/>
      <c r="B18" s="21" t="s">
        <v>15</v>
      </c>
      <c r="C18" s="40">
        <f t="shared" si="0"/>
        <v>0</v>
      </c>
      <c r="D18" s="52" t="e">
        <f>AVERAGE(D32,D45,D58,D71)</f>
        <v>#DIV/0!</v>
      </c>
      <c r="E18" s="40">
        <f t="shared" si="0"/>
        <v>0</v>
      </c>
      <c r="F18" s="40">
        <f t="shared" si="0"/>
        <v>0</v>
      </c>
      <c r="G18" s="61"/>
      <c r="H18" s="61"/>
      <c r="I18" s="61"/>
      <c r="J18" s="61"/>
      <c r="K18" s="61"/>
    </row>
    <row r="19" spans="1:11" x14ac:dyDescent="0.2">
      <c r="A19" s="17"/>
      <c r="B19" s="21"/>
      <c r="C19" s="41"/>
      <c r="D19" s="41"/>
      <c r="E19" s="41"/>
      <c r="F19" s="41"/>
    </row>
    <row r="20" spans="1:11" ht="24" customHeight="1" x14ac:dyDescent="0.2">
      <c r="A20" s="30" t="s">
        <v>16</v>
      </c>
      <c r="B20" s="30" t="s">
        <v>22</v>
      </c>
      <c r="C20" s="40">
        <f>AVERAGE(C21:C32)</f>
        <v>501554.01620107505</v>
      </c>
      <c r="D20" s="52">
        <f>AVERAGE(D21:D32)</f>
        <v>95.602999999999994</v>
      </c>
      <c r="E20" s="40">
        <f>AVERAGE(E22:E32)</f>
        <v>105217.88888888889</v>
      </c>
      <c r="F20" s="40">
        <f>AVERAGE(F22:F32)</f>
        <v>75691.222222222219</v>
      </c>
    </row>
    <row r="21" spans="1:11" x14ac:dyDescent="0.2">
      <c r="A21" s="17"/>
      <c r="B21" s="21" t="s">
        <v>4</v>
      </c>
      <c r="C21" s="42">
        <f>(136.0883/264.18)*1000000</f>
        <v>515134.75660534482</v>
      </c>
      <c r="D21" s="50">
        <v>96.81</v>
      </c>
      <c r="E21" s="43" t="s">
        <v>72</v>
      </c>
      <c r="F21" s="43" t="s">
        <v>72</v>
      </c>
    </row>
    <row r="22" spans="1:11" x14ac:dyDescent="0.2">
      <c r="A22" s="17"/>
      <c r="B22" s="21" t="s">
        <v>5</v>
      </c>
      <c r="C22" s="42">
        <f>(135.538/264.18)*1000000</f>
        <v>513051.70716935419</v>
      </c>
      <c r="D22" s="50">
        <v>94.93</v>
      </c>
      <c r="E22" s="43">
        <v>105505</v>
      </c>
      <c r="F22" s="43">
        <v>48466</v>
      </c>
    </row>
    <row r="23" spans="1:11" x14ac:dyDescent="0.2">
      <c r="A23" s="17"/>
      <c r="B23" s="21" t="s">
        <v>6</v>
      </c>
      <c r="C23" s="42">
        <f>(129.3467/264.18)*1000000</f>
        <v>489615.79226285109</v>
      </c>
      <c r="D23" s="50">
        <v>97.74</v>
      </c>
      <c r="E23" s="43">
        <v>105474</v>
      </c>
      <c r="F23" s="43">
        <v>103953</v>
      </c>
    </row>
    <row r="24" spans="1:11" x14ac:dyDescent="0.2">
      <c r="A24" s="17"/>
      <c r="B24" s="21" t="s">
        <v>7</v>
      </c>
      <c r="C24" s="42">
        <f>(129.7409/264.18)*1000000</f>
        <v>491107.95669619198</v>
      </c>
      <c r="D24" s="50">
        <v>96.28</v>
      </c>
      <c r="E24" s="43">
        <v>102797</v>
      </c>
      <c r="F24" s="43">
        <v>73997</v>
      </c>
    </row>
    <row r="25" spans="1:11" x14ac:dyDescent="0.2">
      <c r="A25" s="17"/>
      <c r="B25" s="21" t="s">
        <v>8</v>
      </c>
      <c r="C25" s="42">
        <f>(128.2032/264.18)*1000000</f>
        <v>485287.30411083356</v>
      </c>
      <c r="D25" s="50">
        <v>95.25</v>
      </c>
      <c r="E25" s="43">
        <v>105669</v>
      </c>
      <c r="F25" s="43">
        <v>75991</v>
      </c>
    </row>
    <row r="26" spans="1:11" x14ac:dyDescent="0.2">
      <c r="A26" s="17"/>
      <c r="B26" s="21" t="s">
        <v>9</v>
      </c>
      <c r="C26" s="42">
        <f>(134.5491/264.18)*1000000</f>
        <v>509308.42607313197</v>
      </c>
      <c r="D26" s="50">
        <v>97.09</v>
      </c>
      <c r="E26" s="43">
        <v>105651</v>
      </c>
      <c r="F26" s="43">
        <v>75978</v>
      </c>
    </row>
    <row r="27" spans="1:11" x14ac:dyDescent="0.2">
      <c r="A27" s="17"/>
      <c r="B27" s="21" t="s">
        <v>10</v>
      </c>
      <c r="C27" s="42">
        <f>(129.5199/264.18)*1000000</f>
        <v>490271.40585964121</v>
      </c>
      <c r="D27" s="50">
        <v>94.8</v>
      </c>
      <c r="E27" s="43">
        <v>105723</v>
      </c>
      <c r="F27" s="43">
        <v>75783</v>
      </c>
    </row>
    <row r="28" spans="1:11" x14ac:dyDescent="0.2">
      <c r="A28" s="17"/>
      <c r="B28" s="21" t="s">
        <v>11</v>
      </c>
      <c r="C28" s="42">
        <f>(133.3296/264.18)*1000000</f>
        <v>504692.25528049056</v>
      </c>
      <c r="D28" s="50">
        <v>93.78</v>
      </c>
      <c r="E28" s="43">
        <v>105751</v>
      </c>
      <c r="F28" s="43">
        <v>75971</v>
      </c>
    </row>
    <row r="29" spans="1:11" x14ac:dyDescent="0.2">
      <c r="A29" s="17"/>
      <c r="B29" s="21" t="s">
        <v>12</v>
      </c>
      <c r="C29" s="42">
        <f>(128.4484/264.18)*1000000</f>
        <v>486215.45915663562</v>
      </c>
      <c r="D29" s="50">
        <v>95.52</v>
      </c>
      <c r="E29" s="43">
        <v>105240</v>
      </c>
      <c r="F29" s="43">
        <v>75549</v>
      </c>
    </row>
    <row r="30" spans="1:11" x14ac:dyDescent="0.2">
      <c r="A30" s="17"/>
      <c r="B30" s="21" t="s">
        <v>13</v>
      </c>
      <c r="C30" s="42">
        <f>(140.2413/264.18)*1000000</f>
        <v>530855.09879627521</v>
      </c>
      <c r="D30" s="50">
        <v>93.83</v>
      </c>
      <c r="E30" s="43">
        <v>105151</v>
      </c>
      <c r="F30" s="43">
        <v>75533</v>
      </c>
    </row>
    <row r="31" spans="1:11" x14ac:dyDescent="0.2">
      <c r="A31" s="17"/>
      <c r="B31" s="21" t="s">
        <v>14</v>
      </c>
      <c r="C31" s="42"/>
      <c r="D31" s="50"/>
      <c r="E31" s="43"/>
      <c r="F31" s="43"/>
    </row>
    <row r="32" spans="1:11" x14ac:dyDescent="0.2">
      <c r="A32" s="17"/>
      <c r="B32" s="21" t="s">
        <v>15</v>
      </c>
      <c r="C32" s="42"/>
      <c r="D32" s="50"/>
      <c r="E32" s="43"/>
      <c r="F32" s="43"/>
    </row>
    <row r="33" spans="1:6" ht="24" customHeight="1" x14ac:dyDescent="0.2">
      <c r="A33" s="30" t="s">
        <v>20</v>
      </c>
      <c r="B33" s="30" t="s">
        <v>22</v>
      </c>
      <c r="C33" s="40">
        <f>AVERAGE(C34:C45)</f>
        <v>452367.96880914533</v>
      </c>
      <c r="D33" s="52">
        <f>AVERAGE(D34:D45)</f>
        <v>91.920999999999992</v>
      </c>
      <c r="E33" s="40">
        <f>AVERAGE(E35:E45)</f>
        <v>127814</v>
      </c>
      <c r="F33" s="40">
        <f>AVERAGE(F35:F45)</f>
        <v>98095</v>
      </c>
    </row>
    <row r="34" spans="1:6" x14ac:dyDescent="0.2">
      <c r="A34" s="17"/>
      <c r="B34" s="21" t="s">
        <v>4</v>
      </c>
      <c r="C34" s="42">
        <f>(125.353/264.18)*1000000</f>
        <v>474498.44802785973</v>
      </c>
      <c r="D34" s="50">
        <v>94.45</v>
      </c>
      <c r="E34" s="43" t="s">
        <v>72</v>
      </c>
      <c r="F34" s="43" t="s">
        <v>72</v>
      </c>
    </row>
    <row r="35" spans="1:6" x14ac:dyDescent="0.2">
      <c r="A35" s="17"/>
      <c r="B35" s="21" t="s">
        <v>5</v>
      </c>
      <c r="C35" s="42">
        <f>(124.0483/264.18)*1000000</f>
        <v>469559.7698538875</v>
      </c>
      <c r="D35" s="50">
        <v>92.6</v>
      </c>
      <c r="E35" s="43">
        <v>127417</v>
      </c>
      <c r="F35" s="43">
        <v>125366</v>
      </c>
    </row>
    <row r="36" spans="1:6" x14ac:dyDescent="0.2">
      <c r="A36" s="17"/>
      <c r="B36" s="21" t="s">
        <v>6</v>
      </c>
      <c r="C36" s="42">
        <f>(117.3635/264.18)*1000000</f>
        <v>444255.810432281</v>
      </c>
      <c r="D36" s="50">
        <v>96.31</v>
      </c>
      <c r="E36" s="43">
        <v>127472</v>
      </c>
      <c r="F36" s="43">
        <v>124255</v>
      </c>
    </row>
    <row r="37" spans="1:6" x14ac:dyDescent="0.2">
      <c r="A37" s="17"/>
      <c r="B37" s="21" t="s">
        <v>7</v>
      </c>
      <c r="C37" s="42">
        <f>(119.7196/264.18)*1000000</f>
        <v>453174.35082140961</v>
      </c>
      <c r="D37" s="50">
        <v>91.65</v>
      </c>
      <c r="E37" s="43">
        <v>127778</v>
      </c>
      <c r="F37" s="43">
        <v>90456</v>
      </c>
    </row>
    <row r="38" spans="1:6" x14ac:dyDescent="0.2">
      <c r="A38" s="17"/>
      <c r="B38" s="21" t="s">
        <v>8</v>
      </c>
      <c r="C38" s="42">
        <f>(120.3133/264.18)*1000000</f>
        <v>455421.68218638806</v>
      </c>
      <c r="D38" s="50">
        <v>89.4</v>
      </c>
      <c r="E38" s="43">
        <v>127785</v>
      </c>
      <c r="F38" s="43">
        <v>90454</v>
      </c>
    </row>
    <row r="39" spans="1:6" x14ac:dyDescent="0.2">
      <c r="A39" s="17"/>
      <c r="B39" s="21" t="s">
        <v>9</v>
      </c>
      <c r="C39" s="42">
        <f>(125.3694/264.18)*1000000</f>
        <v>474560.52691346809</v>
      </c>
      <c r="D39" s="50">
        <v>89.52</v>
      </c>
      <c r="E39" s="43">
        <v>127797</v>
      </c>
      <c r="F39" s="43">
        <v>90442</v>
      </c>
    </row>
    <row r="40" spans="1:6" x14ac:dyDescent="0.2">
      <c r="A40" s="17"/>
      <c r="B40" s="21" t="s">
        <v>10</v>
      </c>
      <c r="C40" s="42">
        <f>(125.1651/264.18)*1000000</f>
        <v>473787.1905518964</v>
      </c>
      <c r="D40" s="50">
        <v>90.35</v>
      </c>
      <c r="E40" s="43">
        <v>127978</v>
      </c>
      <c r="F40" s="43">
        <v>90443</v>
      </c>
    </row>
    <row r="41" spans="1:6" x14ac:dyDescent="0.2">
      <c r="A41" s="17"/>
      <c r="B41" s="21" t="s">
        <v>11</v>
      </c>
      <c r="C41" s="42">
        <f>(122.1586/264.18)*1000000</f>
        <v>462406.69240669243</v>
      </c>
      <c r="D41" s="50">
        <v>86.5</v>
      </c>
      <c r="E41" s="43">
        <v>128055</v>
      </c>
      <c r="F41" s="43">
        <v>90547</v>
      </c>
    </row>
    <row r="42" spans="1:6" x14ac:dyDescent="0.2">
      <c r="A42" s="17"/>
      <c r="B42" s="21" t="s">
        <v>12</v>
      </c>
      <c r="C42" s="42">
        <f>(109.1646/264.18)*1000000</f>
        <v>413220.53145582555</v>
      </c>
      <c r="D42" s="50">
        <v>96.27</v>
      </c>
      <c r="E42" s="43">
        <v>128082</v>
      </c>
      <c r="F42" s="43">
        <v>90447</v>
      </c>
    </row>
    <row r="43" spans="1:6" x14ac:dyDescent="0.2">
      <c r="A43" s="17"/>
      <c r="B43" s="21" t="s">
        <v>13</v>
      </c>
      <c r="C43" s="42">
        <f>(106.4103/264.18)*1000000</f>
        <v>402794.68544174428</v>
      </c>
      <c r="D43" s="50">
        <v>92.16</v>
      </c>
      <c r="E43" s="43">
        <v>127962</v>
      </c>
      <c r="F43" s="43">
        <v>90445</v>
      </c>
    </row>
    <row r="44" spans="1:6" x14ac:dyDescent="0.2">
      <c r="A44" s="17"/>
      <c r="B44" s="21" t="s">
        <v>14</v>
      </c>
      <c r="C44" s="42"/>
      <c r="D44" s="50"/>
      <c r="E44" s="43"/>
      <c r="F44" s="43"/>
    </row>
    <row r="45" spans="1:6" x14ac:dyDescent="0.2">
      <c r="A45" s="17"/>
      <c r="B45" s="21" t="s">
        <v>15</v>
      </c>
      <c r="C45" s="42"/>
      <c r="D45" s="50"/>
      <c r="E45" s="43"/>
      <c r="F45" s="43"/>
    </row>
    <row r="46" spans="1:6" ht="24" customHeight="1" x14ac:dyDescent="0.2">
      <c r="A46" s="30" t="s">
        <v>18</v>
      </c>
      <c r="B46" s="30" t="s">
        <v>22</v>
      </c>
      <c r="C46" s="40">
        <f>AVERAGE(C47:C58)</f>
        <v>471185.10106745397</v>
      </c>
      <c r="D46" s="52">
        <f>AVERAGE(D47:D58)</f>
        <v>93.459000000000017</v>
      </c>
      <c r="E46" s="40">
        <f>AVERAGE(E48:E58)</f>
        <v>142515.11111111112</v>
      </c>
      <c r="F46" s="40">
        <f>AVERAGE(F48:F58)</f>
        <v>58344.555555555555</v>
      </c>
    </row>
    <row r="47" spans="1:6" x14ac:dyDescent="0.2">
      <c r="A47" s="17"/>
      <c r="B47" s="21" t="s">
        <v>4</v>
      </c>
      <c r="C47" s="42">
        <f>(132.2801/264.18)*1000000</f>
        <v>500719.58513134986</v>
      </c>
      <c r="D47" s="50">
        <v>93.11</v>
      </c>
      <c r="E47" s="43" t="s">
        <v>72</v>
      </c>
      <c r="F47" s="43" t="s">
        <v>72</v>
      </c>
    </row>
    <row r="48" spans="1:6" x14ac:dyDescent="0.2">
      <c r="A48" s="17"/>
      <c r="B48" s="21" t="s">
        <v>5</v>
      </c>
      <c r="C48" s="42">
        <f>(134.5428/264.18)*1000000</f>
        <v>509284.57869634335</v>
      </c>
      <c r="D48" s="50">
        <v>95.87</v>
      </c>
      <c r="E48" s="43">
        <v>141528</v>
      </c>
      <c r="F48" s="43">
        <v>140264</v>
      </c>
    </row>
    <row r="49" spans="1:6" x14ac:dyDescent="0.2">
      <c r="A49" s="17"/>
      <c r="B49" s="21" t="s">
        <v>6</v>
      </c>
      <c r="C49" s="42">
        <f>(127.6402/264.18)*1000000</f>
        <v>483156.18139147549</v>
      </c>
      <c r="D49" s="50">
        <v>98.79</v>
      </c>
      <c r="E49" s="43">
        <v>141529</v>
      </c>
      <c r="F49" s="43">
        <v>134526</v>
      </c>
    </row>
    <row r="50" spans="1:6" x14ac:dyDescent="0.2">
      <c r="A50" s="17"/>
      <c r="B50" s="21" t="s">
        <v>7</v>
      </c>
      <c r="C50" s="42">
        <f>(124.928/264.18)*1000000</f>
        <v>472889.69641910814</v>
      </c>
      <c r="D50" s="50">
        <v>93.87</v>
      </c>
      <c r="E50" s="43">
        <v>142153</v>
      </c>
      <c r="F50" s="43">
        <v>36678</v>
      </c>
    </row>
    <row r="51" spans="1:6" x14ac:dyDescent="0.2">
      <c r="A51" s="17"/>
      <c r="B51" s="21" t="s">
        <v>8</v>
      </c>
      <c r="C51" s="42">
        <f>(118.8549/264.18)*1000000</f>
        <v>449901.20372473315</v>
      </c>
      <c r="D51" s="50">
        <v>96.16</v>
      </c>
      <c r="E51" s="43">
        <v>142371</v>
      </c>
      <c r="F51" s="43">
        <v>36674</v>
      </c>
    </row>
    <row r="52" spans="1:6" x14ac:dyDescent="0.2">
      <c r="A52" s="17"/>
      <c r="B52" s="21" t="s">
        <v>9</v>
      </c>
      <c r="C52" s="42">
        <f>(123.9302/264.18)*1000000</f>
        <v>469112.7261715497</v>
      </c>
      <c r="D52" s="50">
        <v>89.89</v>
      </c>
      <c r="E52" s="43">
        <v>142434</v>
      </c>
      <c r="F52" s="43">
        <v>35406</v>
      </c>
    </row>
    <row r="53" spans="1:6" x14ac:dyDescent="0.2">
      <c r="A53" s="17"/>
      <c r="B53" s="21" t="s">
        <v>10</v>
      </c>
      <c r="C53" s="42">
        <f>(121.9638/264.18)*1000000</f>
        <v>461669.31637519877</v>
      </c>
      <c r="D53" s="50">
        <v>94.16</v>
      </c>
      <c r="E53" s="43">
        <v>142649</v>
      </c>
      <c r="F53" s="43">
        <v>35055</v>
      </c>
    </row>
    <row r="54" spans="1:6" x14ac:dyDescent="0.2">
      <c r="A54" s="17"/>
      <c r="B54" s="21" t="s">
        <v>11</v>
      </c>
      <c r="C54" s="42">
        <f>(124.2304/264.18)*1000000</f>
        <v>470249.07260201377</v>
      </c>
      <c r="D54" s="50">
        <v>78.58</v>
      </c>
      <c r="E54" s="43">
        <v>143142</v>
      </c>
      <c r="F54" s="43">
        <v>35470</v>
      </c>
    </row>
    <row r="55" spans="1:6" x14ac:dyDescent="0.2">
      <c r="A55" s="17"/>
      <c r="B55" s="21" t="s">
        <v>12</v>
      </c>
      <c r="C55" s="42">
        <f>(123.5692/264.18)*1000000</f>
        <v>467746.23362858652</v>
      </c>
      <c r="D55" s="50">
        <v>96.23</v>
      </c>
      <c r="E55" s="43">
        <v>143222</v>
      </c>
      <c r="F55" s="43">
        <v>35355</v>
      </c>
    </row>
    <row r="56" spans="1:6" x14ac:dyDescent="0.2">
      <c r="A56" s="17"/>
      <c r="B56" s="21" t="s">
        <v>13</v>
      </c>
      <c r="C56" s="42">
        <f>(112.8372/264.18)*1000000</f>
        <v>427122.41653418122</v>
      </c>
      <c r="D56" s="50">
        <v>97.93</v>
      </c>
      <c r="E56" s="43">
        <v>143608</v>
      </c>
      <c r="F56" s="43">
        <v>35673</v>
      </c>
    </row>
    <row r="57" spans="1:6" x14ac:dyDescent="0.2">
      <c r="A57" s="17"/>
      <c r="B57" s="21" t="s">
        <v>14</v>
      </c>
      <c r="C57" s="42"/>
      <c r="D57" s="50"/>
      <c r="E57" s="43"/>
      <c r="F57" s="43"/>
    </row>
    <row r="58" spans="1:6" x14ac:dyDescent="0.2">
      <c r="A58" s="17"/>
      <c r="B58" s="21" t="s">
        <v>15</v>
      </c>
      <c r="C58" s="42"/>
      <c r="D58" s="50"/>
      <c r="E58" s="43"/>
      <c r="F58" s="43"/>
    </row>
    <row r="59" spans="1:6" ht="24" customHeight="1" x14ac:dyDescent="0.2">
      <c r="A59" s="30" t="s">
        <v>19</v>
      </c>
      <c r="B59" s="30" t="s">
        <v>22</v>
      </c>
      <c r="C59" s="40">
        <f>AVERAGE(C60:C71)</f>
        <v>227219.73654326596</v>
      </c>
      <c r="D59" s="52">
        <f>AVERAGE(D60:D71)</f>
        <v>70.903999999999996</v>
      </c>
      <c r="E59" s="40">
        <f>AVERAGE(E61:E71)</f>
        <v>50359.333333333336</v>
      </c>
      <c r="F59" s="40">
        <f>AVERAGE(F61:F71)</f>
        <v>15466</v>
      </c>
    </row>
    <row r="60" spans="1:6" x14ac:dyDescent="0.2">
      <c r="A60" s="17"/>
      <c r="B60" s="21" t="s">
        <v>4</v>
      </c>
      <c r="C60" s="42">
        <f>(60.5556/264.18)*1000000</f>
        <v>229220.98569157394</v>
      </c>
      <c r="D60" s="50">
        <v>68.55</v>
      </c>
      <c r="E60" s="43" t="s">
        <v>72</v>
      </c>
      <c r="F60" s="43" t="s">
        <v>72</v>
      </c>
    </row>
    <row r="61" spans="1:6" x14ac:dyDescent="0.2">
      <c r="A61" s="17"/>
      <c r="B61" s="21" t="s">
        <v>5</v>
      </c>
      <c r="C61" s="42">
        <f>(62.4017/264.18)*1000000</f>
        <v>236209.02415020062</v>
      </c>
      <c r="D61" s="50">
        <v>74.41</v>
      </c>
      <c r="E61" s="43">
        <v>49910</v>
      </c>
      <c r="F61" s="43">
        <v>49297</v>
      </c>
    </row>
    <row r="62" spans="1:6" x14ac:dyDescent="0.2">
      <c r="A62" s="17"/>
      <c r="B62" s="21" t="s">
        <v>6</v>
      </c>
      <c r="C62" s="42">
        <f>(65.4993/264.18)*1000000</f>
        <v>247934.36293436293</v>
      </c>
      <c r="D62" s="50">
        <v>75.81</v>
      </c>
      <c r="E62" s="43">
        <v>49876</v>
      </c>
      <c r="F62" s="43">
        <v>14201</v>
      </c>
    </row>
    <row r="63" spans="1:6" x14ac:dyDescent="0.2">
      <c r="A63" s="17"/>
      <c r="B63" s="21" t="s">
        <v>7</v>
      </c>
      <c r="C63" s="42">
        <f>(61.8266/264.18)*1000000</f>
        <v>234032.09932621696</v>
      </c>
      <c r="D63" s="50">
        <v>69.430000000000007</v>
      </c>
      <c r="E63" s="43">
        <v>50471</v>
      </c>
      <c r="F63" s="43">
        <v>10813</v>
      </c>
    </row>
    <row r="64" spans="1:6" x14ac:dyDescent="0.2">
      <c r="A64" s="17"/>
      <c r="B64" s="21" t="s">
        <v>8</v>
      </c>
      <c r="C64" s="42">
        <f>(59.7304/264.18)*1000000</f>
        <v>226097.35786206374</v>
      </c>
      <c r="D64" s="50">
        <v>69.400000000000006</v>
      </c>
      <c r="E64" s="43">
        <v>50037</v>
      </c>
      <c r="F64" s="43">
        <v>10797</v>
      </c>
    </row>
    <row r="65" spans="1:6" x14ac:dyDescent="0.2">
      <c r="A65" s="17"/>
      <c r="B65" s="21" t="s">
        <v>9</v>
      </c>
      <c r="C65" s="42">
        <f>(59.2612/264.18)*1000000</f>
        <v>224321.29608600197</v>
      </c>
      <c r="D65" s="50">
        <v>73.41</v>
      </c>
      <c r="E65" s="43">
        <v>50039</v>
      </c>
      <c r="F65" s="43">
        <v>10774</v>
      </c>
    </row>
    <row r="66" spans="1:6" x14ac:dyDescent="0.2">
      <c r="A66" s="17"/>
      <c r="B66" s="21" t="s">
        <v>10</v>
      </c>
      <c r="C66" s="42">
        <f>(57.2494/264.18)*1000000</f>
        <v>216706.03376485727</v>
      </c>
      <c r="D66" s="50">
        <v>65.709999999999994</v>
      </c>
      <c r="E66" s="43">
        <v>50129</v>
      </c>
      <c r="F66" s="43">
        <v>10788</v>
      </c>
    </row>
    <row r="67" spans="1:6" x14ac:dyDescent="0.2">
      <c r="A67" s="17"/>
      <c r="B67" s="21" t="s">
        <v>11</v>
      </c>
      <c r="C67" s="42">
        <f>(57.1701/264.18)*1000000</f>
        <v>216405.85964115374</v>
      </c>
      <c r="D67" s="50">
        <v>65.63</v>
      </c>
      <c r="E67" s="43">
        <v>50146</v>
      </c>
      <c r="F67" s="43">
        <v>10785</v>
      </c>
    </row>
    <row r="68" spans="1:6" x14ac:dyDescent="0.2">
      <c r="A68" s="17"/>
      <c r="B68" s="21" t="s">
        <v>12</v>
      </c>
      <c r="C68" s="42">
        <f>(58.1345/264.18)*1000000</f>
        <v>220056.40093875388</v>
      </c>
      <c r="D68" s="50">
        <v>78.09</v>
      </c>
      <c r="E68" s="43">
        <v>51249</v>
      </c>
      <c r="F68" s="43">
        <v>10793</v>
      </c>
    </row>
    <row r="69" spans="1:6" x14ac:dyDescent="0.2">
      <c r="A69" s="17"/>
      <c r="B69" s="21" t="s">
        <v>13</v>
      </c>
      <c r="C69" s="42">
        <f>(58.4403/264.18)*1000000</f>
        <v>221213.94503747445</v>
      </c>
      <c r="D69" s="50">
        <v>68.599999999999994</v>
      </c>
      <c r="E69" s="43">
        <v>51377</v>
      </c>
      <c r="F69" s="43">
        <v>10946</v>
      </c>
    </row>
    <row r="70" spans="1:6" x14ac:dyDescent="0.2">
      <c r="A70" s="17"/>
      <c r="B70" s="21" t="s">
        <v>14</v>
      </c>
      <c r="C70" s="42"/>
      <c r="D70" s="50"/>
      <c r="E70" s="43"/>
      <c r="F70" s="43"/>
    </row>
    <row r="71" spans="1:6" ht="15" customHeight="1" x14ac:dyDescent="0.2">
      <c r="A71" s="34"/>
      <c r="B71" s="26" t="s">
        <v>15</v>
      </c>
      <c r="C71" s="44"/>
      <c r="D71" s="51"/>
      <c r="E71" s="45"/>
      <c r="F71" s="45"/>
    </row>
    <row r="72" spans="1:6" ht="15" customHeight="1" x14ac:dyDescent="0.2">
      <c r="A72" s="47" t="s">
        <v>63</v>
      </c>
      <c r="B72" s="62"/>
      <c r="C72" s="63"/>
      <c r="D72" s="64"/>
      <c r="E72" s="65"/>
      <c r="F72" s="65"/>
    </row>
    <row r="73" spans="1:6" ht="12.6" customHeight="1" x14ac:dyDescent="0.2">
      <c r="A73" s="77" t="s">
        <v>57</v>
      </c>
      <c r="B73" s="77"/>
      <c r="C73" s="77"/>
      <c r="D73" s="77"/>
      <c r="E73" s="77"/>
      <c r="F73" s="77"/>
    </row>
    <row r="74" spans="1:6" ht="10.9" customHeight="1" x14ac:dyDescent="0.2">
      <c r="A74" s="38" t="s">
        <v>58</v>
      </c>
      <c r="B74" s="37"/>
      <c r="C74" s="37"/>
      <c r="D74" s="37"/>
      <c r="E74" s="37"/>
      <c r="F74" s="37"/>
    </row>
    <row r="75" spans="1:6" ht="11.25" customHeight="1" x14ac:dyDescent="0.2">
      <c r="A75" s="77" t="s">
        <v>59</v>
      </c>
      <c r="B75" s="77"/>
      <c r="C75" s="77"/>
      <c r="D75" s="77"/>
      <c r="E75" s="77"/>
      <c r="F75" s="77"/>
    </row>
    <row r="76" spans="1:6" ht="11.25" customHeight="1" x14ac:dyDescent="0.2">
      <c r="A76" s="77" t="s">
        <v>60</v>
      </c>
      <c r="B76" s="77"/>
      <c r="C76" s="77"/>
      <c r="D76" s="77"/>
      <c r="E76" s="77"/>
      <c r="F76" s="77"/>
    </row>
    <row r="77" spans="1:6" ht="11.25" customHeight="1" x14ac:dyDescent="0.2">
      <c r="A77" s="80" t="s">
        <v>61</v>
      </c>
      <c r="B77" s="80"/>
      <c r="C77" s="80"/>
      <c r="D77" s="80"/>
      <c r="E77" s="80"/>
      <c r="F77" s="80"/>
    </row>
    <row r="78" spans="1:6" ht="11.25" customHeight="1" x14ac:dyDescent="0.2">
      <c r="A78" s="77" t="s">
        <v>24</v>
      </c>
      <c r="B78" s="77"/>
      <c r="C78" s="77"/>
      <c r="D78" s="77"/>
      <c r="E78" s="77"/>
      <c r="F78" s="77"/>
    </row>
    <row r="79" spans="1:6" ht="11.25" customHeight="1" x14ac:dyDescent="0.2">
      <c r="A79" s="38" t="s">
        <v>73</v>
      </c>
      <c r="B79" s="37"/>
      <c r="C79" s="37"/>
      <c r="D79" s="37"/>
      <c r="E79" s="37"/>
      <c r="F79" s="37"/>
    </row>
    <row r="80" spans="1:6" x14ac:dyDescent="0.2">
      <c r="A80" s="38" t="s">
        <v>56</v>
      </c>
      <c r="B80" s="37"/>
      <c r="C80" s="37"/>
      <c r="D80" s="37"/>
      <c r="E80" s="37"/>
      <c r="F80" s="37"/>
    </row>
    <row r="81" spans="1:6" x14ac:dyDescent="0.2">
      <c r="A81" s="77" t="s">
        <v>23</v>
      </c>
      <c r="B81" s="77"/>
      <c r="C81" s="77"/>
      <c r="D81" s="77"/>
      <c r="E81" s="77"/>
      <c r="F81" s="77"/>
    </row>
  </sheetData>
  <mergeCells count="10">
    <mergeCell ref="A76:F76"/>
    <mergeCell ref="A77:F77"/>
    <mergeCell ref="A78:F78"/>
    <mergeCell ref="A81:F81"/>
    <mergeCell ref="A1:F1"/>
    <mergeCell ref="A2:F2"/>
    <mergeCell ref="A4:A5"/>
    <mergeCell ref="B4:B5"/>
    <mergeCell ref="A73:F73"/>
    <mergeCell ref="A75:F7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workbookViewId="0">
      <selection activeCell="I10" sqref="I10"/>
    </sheetView>
  </sheetViews>
  <sheetFormatPr baseColWidth="10" defaultColWidth="11.42578125" defaultRowHeight="12" x14ac:dyDescent="0.2"/>
  <cols>
    <col min="1" max="1" width="15.140625" style="9" customWidth="1"/>
    <col min="2" max="2" width="14.42578125" style="9" customWidth="1"/>
    <col min="3" max="5" width="21.42578125" style="9" customWidth="1"/>
    <col min="6" max="16384" width="11.42578125" style="9"/>
  </cols>
  <sheetData>
    <row r="1" spans="1:11" ht="18.75" customHeight="1" x14ac:dyDescent="0.2">
      <c r="A1" s="74"/>
      <c r="B1" s="74"/>
      <c r="C1" s="74"/>
      <c r="D1" s="74"/>
      <c r="E1" s="74"/>
    </row>
    <row r="2" spans="1:11" ht="28.5" customHeight="1" x14ac:dyDescent="0.2">
      <c r="A2" s="78" t="s">
        <v>65</v>
      </c>
      <c r="B2" s="78"/>
      <c r="C2" s="78"/>
      <c r="D2" s="78"/>
      <c r="E2" s="78"/>
      <c r="F2" s="67"/>
      <c r="G2" s="67"/>
      <c r="H2" s="67"/>
      <c r="I2" s="67"/>
      <c r="J2" s="67"/>
      <c r="K2" s="67"/>
    </row>
    <row r="3" spans="1:11" x14ac:dyDescent="0.2">
      <c r="A3" s="68"/>
      <c r="B3" s="68"/>
      <c r="C3" s="68"/>
      <c r="D3" s="68"/>
      <c r="E3" s="68"/>
    </row>
    <row r="4" spans="1:11" ht="26.25" x14ac:dyDescent="0.2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1" ht="14.25" x14ac:dyDescent="0.2">
      <c r="A5" s="76"/>
      <c r="B5" s="76"/>
      <c r="C5" s="28" t="s">
        <v>32</v>
      </c>
      <c r="D5" s="28"/>
      <c r="E5" s="28"/>
    </row>
    <row r="6" spans="1:11" ht="18" customHeight="1" x14ac:dyDescent="0.2">
      <c r="A6" s="39" t="s">
        <v>55</v>
      </c>
      <c r="B6" s="29"/>
      <c r="C6" s="52">
        <f>AVERAGE(C7:C18)</f>
        <v>1300374.4290508998</v>
      </c>
      <c r="D6" s="40">
        <f t="shared" ref="D6:E6" si="0">AVERAGE(D7:D18)</f>
        <v>356722.5</v>
      </c>
      <c r="E6" s="40">
        <f t="shared" si="0"/>
        <v>106781.16666666667</v>
      </c>
    </row>
    <row r="7" spans="1:11" ht="14.25" customHeight="1" x14ac:dyDescent="0.2">
      <c r="A7" s="31" t="s">
        <v>2</v>
      </c>
      <c r="B7" s="21" t="s">
        <v>4</v>
      </c>
      <c r="C7" s="40">
        <f t="shared" ref="C7:E18" si="1">C20+C33+C46+C59</f>
        <v>1300514.8005148005</v>
      </c>
      <c r="D7" s="40">
        <f t="shared" si="1"/>
        <v>356965</v>
      </c>
      <c r="E7" s="40">
        <f t="shared" si="1"/>
        <v>105932</v>
      </c>
    </row>
    <row r="8" spans="1:11" x14ac:dyDescent="0.2">
      <c r="A8" s="29"/>
      <c r="B8" s="21" t="s">
        <v>5</v>
      </c>
      <c r="C8" s="40">
        <f t="shared" si="1"/>
        <v>1339541.2218941632</v>
      </c>
      <c r="D8" s="40">
        <f t="shared" si="1"/>
        <v>356921</v>
      </c>
      <c r="E8" s="40">
        <f t="shared" si="1"/>
        <v>106240</v>
      </c>
    </row>
    <row r="9" spans="1:11" x14ac:dyDescent="0.2">
      <c r="A9" s="29"/>
      <c r="B9" s="21" t="s">
        <v>6</v>
      </c>
      <c r="C9" s="40">
        <f t="shared" si="1"/>
        <v>1278408.660761602</v>
      </c>
      <c r="D9" s="40">
        <f t="shared" si="1"/>
        <v>356895</v>
      </c>
      <c r="E9" s="40">
        <f t="shared" si="1"/>
        <v>105920</v>
      </c>
    </row>
    <row r="10" spans="1:11" x14ac:dyDescent="0.2">
      <c r="A10" s="29"/>
      <c r="B10" s="21" t="s">
        <v>7</v>
      </c>
      <c r="C10" s="40">
        <f t="shared" si="1"/>
        <v>1215110.9092285563</v>
      </c>
      <c r="D10" s="40">
        <f t="shared" si="1"/>
        <v>356767</v>
      </c>
      <c r="E10" s="40">
        <f t="shared" si="1"/>
        <v>105787</v>
      </c>
    </row>
    <row r="11" spans="1:11" x14ac:dyDescent="0.2">
      <c r="A11" s="29"/>
      <c r="B11" s="21" t="s">
        <v>8</v>
      </c>
      <c r="C11" s="40">
        <f t="shared" si="1"/>
        <v>1277208.7213263682</v>
      </c>
      <c r="D11" s="40">
        <f t="shared" si="1"/>
        <v>356669</v>
      </c>
      <c r="E11" s="40">
        <f t="shared" si="1"/>
        <v>105938</v>
      </c>
    </row>
    <row r="12" spans="1:11" x14ac:dyDescent="0.2">
      <c r="A12" s="29"/>
      <c r="B12" s="21" t="s">
        <v>9</v>
      </c>
      <c r="C12" s="40">
        <f t="shared" si="1"/>
        <v>1189908.3957907485</v>
      </c>
      <c r="D12" s="40">
        <f t="shared" si="1"/>
        <v>356365</v>
      </c>
      <c r="E12" s="40">
        <f t="shared" si="1"/>
        <v>106467</v>
      </c>
    </row>
    <row r="13" spans="1:11" x14ac:dyDescent="0.2">
      <c r="A13" s="29"/>
      <c r="B13" s="21" t="s">
        <v>10</v>
      </c>
      <c r="C13" s="40">
        <f t="shared" si="1"/>
        <v>1154387.1602695133</v>
      </c>
      <c r="D13" s="40">
        <f t="shared" si="1"/>
        <v>356201</v>
      </c>
      <c r="E13" s="40">
        <f t="shared" si="1"/>
        <v>106523</v>
      </c>
    </row>
    <row r="14" spans="1:11" x14ac:dyDescent="0.2">
      <c r="A14" s="29"/>
      <c r="B14" s="21" t="s">
        <v>11</v>
      </c>
      <c r="C14" s="40">
        <f t="shared" si="1"/>
        <v>1236603.830721478</v>
      </c>
      <c r="D14" s="40">
        <f t="shared" si="1"/>
        <v>356288</v>
      </c>
      <c r="E14" s="40">
        <f t="shared" si="1"/>
        <v>107082</v>
      </c>
    </row>
    <row r="15" spans="1:11" x14ac:dyDescent="0.2">
      <c r="A15" s="29"/>
      <c r="B15" s="21" t="s">
        <v>12</v>
      </c>
      <c r="C15" s="40">
        <f t="shared" si="1"/>
        <v>1339567.7189794837</v>
      </c>
      <c r="D15" s="40">
        <f t="shared" si="1"/>
        <v>356535</v>
      </c>
      <c r="E15" s="40">
        <f t="shared" si="1"/>
        <v>107369</v>
      </c>
    </row>
    <row r="16" spans="1:11" x14ac:dyDescent="0.2">
      <c r="A16" s="29"/>
      <c r="B16" s="21" t="s">
        <v>13</v>
      </c>
      <c r="C16" s="40">
        <f t="shared" si="1"/>
        <v>1356438.7917329094</v>
      </c>
      <c r="D16" s="40">
        <f t="shared" si="1"/>
        <v>356714</v>
      </c>
      <c r="E16" s="40">
        <f t="shared" si="1"/>
        <v>107485</v>
      </c>
    </row>
    <row r="17" spans="1:5" x14ac:dyDescent="0.2">
      <c r="A17" s="29"/>
      <c r="B17" s="21" t="s">
        <v>14</v>
      </c>
      <c r="C17" s="40">
        <f t="shared" si="1"/>
        <v>1477897.6455447045</v>
      </c>
      <c r="D17" s="40">
        <f t="shared" si="1"/>
        <v>356979</v>
      </c>
      <c r="E17" s="40">
        <f t="shared" si="1"/>
        <v>108022</v>
      </c>
    </row>
    <row r="18" spans="1:5" x14ac:dyDescent="0.2">
      <c r="A18" s="29"/>
      <c r="B18" s="21" t="s">
        <v>15</v>
      </c>
      <c r="C18" s="40">
        <f t="shared" si="1"/>
        <v>1438905.2918464683</v>
      </c>
      <c r="D18" s="40">
        <f t="shared" si="1"/>
        <v>357371</v>
      </c>
      <c r="E18" s="40">
        <f t="shared" si="1"/>
        <v>108609</v>
      </c>
    </row>
    <row r="19" spans="1:5" ht="23.25" customHeight="1" x14ac:dyDescent="0.2">
      <c r="A19" s="33" t="s">
        <v>16</v>
      </c>
      <c r="B19" s="33" t="s">
        <v>3</v>
      </c>
      <c r="C19" s="49">
        <f>AVERAGE(C20:C31)</f>
        <v>506877.57084815908</v>
      </c>
      <c r="D19" s="48">
        <f t="shared" ref="D19:E19" si="2">AVERAGE(D20:D31)</f>
        <v>97964.833333333328</v>
      </c>
      <c r="E19" s="48">
        <f t="shared" si="2"/>
        <v>41064.916666666664</v>
      </c>
    </row>
    <row r="20" spans="1:5" x14ac:dyDescent="0.2">
      <c r="A20" s="17"/>
      <c r="B20" s="21" t="s">
        <v>4</v>
      </c>
      <c r="C20" s="50">
        <f>(127.73/264.18)*1000000</f>
        <v>483496.10114316002</v>
      </c>
      <c r="D20" s="43">
        <v>98276</v>
      </c>
      <c r="E20" s="43">
        <v>41052</v>
      </c>
    </row>
    <row r="21" spans="1:5" x14ac:dyDescent="0.2">
      <c r="A21" s="17"/>
      <c r="B21" s="21" t="s">
        <v>5</v>
      </c>
      <c r="C21" s="50">
        <f>(136.62/264.18)*1000000</f>
        <v>517147.39950034075</v>
      </c>
      <c r="D21" s="43">
        <v>98281</v>
      </c>
      <c r="E21" s="43">
        <v>41057</v>
      </c>
    </row>
    <row r="22" spans="1:5" x14ac:dyDescent="0.2">
      <c r="A22" s="17"/>
      <c r="B22" s="21" t="s">
        <v>6</v>
      </c>
      <c r="C22" s="50">
        <f>(124.93/264.18)*1000000</f>
        <v>472897.26701491408</v>
      </c>
      <c r="D22" s="43">
        <v>98290</v>
      </c>
      <c r="E22" s="43">
        <v>42156</v>
      </c>
    </row>
    <row r="23" spans="1:5" x14ac:dyDescent="0.2">
      <c r="A23" s="17"/>
      <c r="B23" s="21" t="s">
        <v>7</v>
      </c>
      <c r="C23" s="50">
        <f>(119.569/264.18)*1000000</f>
        <v>452604.28495722613</v>
      </c>
      <c r="D23" s="43">
        <v>98286</v>
      </c>
      <c r="E23" s="43">
        <v>41071</v>
      </c>
    </row>
    <row r="24" spans="1:5" x14ac:dyDescent="0.2">
      <c r="A24" s="17"/>
      <c r="B24" s="21" t="s">
        <v>8</v>
      </c>
      <c r="C24" s="50">
        <f>(131.718/264.18)*1000000</f>
        <v>498591.8691801044</v>
      </c>
      <c r="D24" s="43">
        <v>98078</v>
      </c>
      <c r="E24" s="43">
        <v>40988</v>
      </c>
    </row>
    <row r="25" spans="1:5" x14ac:dyDescent="0.2">
      <c r="A25" s="17"/>
      <c r="B25" s="21" t="s">
        <v>9</v>
      </c>
      <c r="C25" s="50">
        <f>(119.137/264.18)*1000000</f>
        <v>450969.03626315389</v>
      </c>
      <c r="D25" s="43">
        <v>97838</v>
      </c>
      <c r="E25" s="43">
        <v>40792</v>
      </c>
    </row>
    <row r="26" spans="1:5" x14ac:dyDescent="0.2">
      <c r="A26" s="17"/>
      <c r="B26" s="21" t="s">
        <v>10</v>
      </c>
      <c r="C26" s="50">
        <f>(121.212/264.18)*1000000</f>
        <v>458823.5294117647</v>
      </c>
      <c r="D26" s="43">
        <v>97703</v>
      </c>
      <c r="E26" s="43">
        <v>40694</v>
      </c>
    </row>
    <row r="27" spans="1:5" x14ac:dyDescent="0.2">
      <c r="A27" s="17"/>
      <c r="B27" s="21" t="s">
        <v>11</v>
      </c>
      <c r="C27" s="50">
        <f>(138.865/264.18)*1000000</f>
        <v>525645.39329245221</v>
      </c>
      <c r="D27" s="43">
        <v>97703</v>
      </c>
      <c r="E27" s="43">
        <v>40705</v>
      </c>
    </row>
    <row r="28" spans="1:5" x14ac:dyDescent="0.2">
      <c r="A28" s="17"/>
      <c r="B28" s="21" t="s">
        <v>12</v>
      </c>
      <c r="C28" s="50">
        <f>(147.054/264.18)*1000000</f>
        <v>556643.19781966845</v>
      </c>
      <c r="D28" s="43">
        <v>97731</v>
      </c>
      <c r="E28" s="43">
        <v>40761</v>
      </c>
    </row>
    <row r="29" spans="1:5" x14ac:dyDescent="0.2">
      <c r="A29" s="17"/>
      <c r="B29" s="21" t="s">
        <v>13</v>
      </c>
      <c r="C29" s="50">
        <f>(153.937/264.18)*1000000</f>
        <v>582697.40328563855</v>
      </c>
      <c r="D29" s="43">
        <v>97737</v>
      </c>
      <c r="E29" s="43">
        <v>40870</v>
      </c>
    </row>
    <row r="30" spans="1:5" x14ac:dyDescent="0.2">
      <c r="A30" s="17"/>
      <c r="B30" s="21" t="s">
        <v>14</v>
      </c>
      <c r="C30" s="50">
        <f>(152.307/264.18)*1000000</f>
        <v>576527.36770383827</v>
      </c>
      <c r="D30" s="43">
        <v>97809</v>
      </c>
      <c r="E30" s="43">
        <v>41203</v>
      </c>
    </row>
    <row r="31" spans="1:5" x14ac:dyDescent="0.2">
      <c r="A31" s="17"/>
      <c r="B31" s="21" t="s">
        <v>15</v>
      </c>
      <c r="C31" s="50">
        <f>(133.804/264.18)*1000000</f>
        <v>506488.00060564769</v>
      </c>
      <c r="D31" s="43">
        <v>97846</v>
      </c>
      <c r="E31" s="43">
        <v>41430</v>
      </c>
    </row>
    <row r="32" spans="1:5" ht="24.75" customHeight="1" x14ac:dyDescent="0.2">
      <c r="A32" s="33" t="s">
        <v>20</v>
      </c>
      <c r="B32" s="33" t="s">
        <v>3</v>
      </c>
      <c r="C32" s="49">
        <f>AVERAGE(C33:C44)</f>
        <v>324006.67474196886</v>
      </c>
      <c r="D32" s="48">
        <f t="shared" ref="D32:E32" si="3">AVERAGE(D33:D44)</f>
        <v>108340.83333333333</v>
      </c>
      <c r="E32" s="48">
        <f t="shared" si="3"/>
        <v>42812.416666666664</v>
      </c>
    </row>
    <row r="33" spans="1:5" x14ac:dyDescent="0.2">
      <c r="A33" s="17"/>
      <c r="B33" s="21" t="s">
        <v>4</v>
      </c>
      <c r="C33" s="50">
        <f>(86.49/264.18)*1000000</f>
        <v>327390.41562570969</v>
      </c>
      <c r="D33" s="43">
        <v>108293</v>
      </c>
      <c r="E33" s="43">
        <v>42109</v>
      </c>
    </row>
    <row r="34" spans="1:5" x14ac:dyDescent="0.2">
      <c r="A34" s="17"/>
      <c r="B34" s="21" t="s">
        <v>5</v>
      </c>
      <c r="C34" s="50">
        <f>(85.96/264.18)*1000000</f>
        <v>325384.20773714886</v>
      </c>
      <c r="D34" s="43">
        <v>108293</v>
      </c>
      <c r="E34" s="43">
        <v>42112</v>
      </c>
    </row>
    <row r="35" spans="1:5" x14ac:dyDescent="0.2">
      <c r="A35" s="17"/>
      <c r="B35" s="21" t="s">
        <v>6</v>
      </c>
      <c r="C35" s="50">
        <f>(84.62/264.18)*1000000</f>
        <v>320311.90854720265</v>
      </c>
      <c r="D35" s="43">
        <v>108307</v>
      </c>
      <c r="E35" s="43">
        <v>41061</v>
      </c>
    </row>
    <row r="36" spans="1:5" x14ac:dyDescent="0.2">
      <c r="A36" s="17"/>
      <c r="B36" s="21" t="s">
        <v>7</v>
      </c>
      <c r="C36" s="50">
        <f>(81.306/264.18)*1000000</f>
        <v>307767.43129684305</v>
      </c>
      <c r="D36" s="43">
        <v>108274</v>
      </c>
      <c r="E36" s="43">
        <v>42130</v>
      </c>
    </row>
    <row r="37" spans="1:5" x14ac:dyDescent="0.2">
      <c r="A37" s="17"/>
      <c r="B37" s="21" t="s">
        <v>8</v>
      </c>
      <c r="C37" s="50">
        <f>(79.939/264.18)*1000000</f>
        <v>302592.92906351725</v>
      </c>
      <c r="D37" s="43">
        <v>108363</v>
      </c>
      <c r="E37" s="43">
        <v>42371</v>
      </c>
    </row>
    <row r="38" spans="1:5" x14ac:dyDescent="0.2">
      <c r="A38" s="17"/>
      <c r="B38" s="21" t="s">
        <v>9</v>
      </c>
      <c r="C38" s="50">
        <f>(73.445/264.18)*1000000</f>
        <v>278011.20448179269</v>
      </c>
      <c r="D38" s="43">
        <v>108320</v>
      </c>
      <c r="E38" s="43">
        <v>43117</v>
      </c>
    </row>
    <row r="39" spans="1:5" x14ac:dyDescent="0.2">
      <c r="A39" s="17"/>
      <c r="B39" s="21" t="s">
        <v>10</v>
      </c>
      <c r="C39" s="50">
        <f>(74.342/264.18)*1000000</f>
        <v>281406.61670073436</v>
      </c>
      <c r="D39" s="43">
        <v>108305</v>
      </c>
      <c r="E39" s="43">
        <v>43284</v>
      </c>
    </row>
    <row r="40" spans="1:5" x14ac:dyDescent="0.2">
      <c r="A40" s="17"/>
      <c r="B40" s="21" t="s">
        <v>11</v>
      </c>
      <c r="C40" s="50">
        <f>(84.143/264.18)*1000000</f>
        <v>318506.32144749793</v>
      </c>
      <c r="D40" s="43">
        <v>108296</v>
      </c>
      <c r="E40" s="43">
        <v>43340</v>
      </c>
    </row>
    <row r="41" spans="1:5" x14ac:dyDescent="0.2">
      <c r="A41" s="17"/>
      <c r="B41" s="21" t="s">
        <v>12</v>
      </c>
      <c r="C41" s="50">
        <f>(98.833/264.18)*1000000</f>
        <v>374112.34764175938</v>
      </c>
      <c r="D41" s="43">
        <v>108309</v>
      </c>
      <c r="E41" s="43">
        <v>43406</v>
      </c>
    </row>
    <row r="42" spans="1:5" x14ac:dyDescent="0.2">
      <c r="A42" s="17"/>
      <c r="B42" s="21" t="s">
        <v>13</v>
      </c>
      <c r="C42" s="50">
        <f>(91.787/264.18)*1000000</f>
        <v>347441.13861760922</v>
      </c>
      <c r="D42" s="43">
        <v>108283</v>
      </c>
      <c r="E42" s="43">
        <v>43427</v>
      </c>
    </row>
    <row r="43" spans="1:5" x14ac:dyDescent="0.2">
      <c r="A43" s="17"/>
      <c r="B43" s="21" t="s">
        <v>14</v>
      </c>
      <c r="C43" s="50">
        <f>(93.515/264.18)*1000000</f>
        <v>353982.13339389814</v>
      </c>
      <c r="D43" s="43">
        <v>108393</v>
      </c>
      <c r="E43" s="43">
        <v>43567</v>
      </c>
    </row>
    <row r="44" spans="1:5" x14ac:dyDescent="0.2">
      <c r="A44" s="17"/>
      <c r="B44" s="21" t="s">
        <v>15</v>
      </c>
      <c r="C44" s="50">
        <f>(92.773/264.18)*1000000</f>
        <v>351173.44234991295</v>
      </c>
      <c r="D44" s="43">
        <v>108654</v>
      </c>
      <c r="E44" s="43">
        <v>43825</v>
      </c>
    </row>
    <row r="45" spans="1:5" ht="24.75" customHeight="1" x14ac:dyDescent="0.2">
      <c r="A45" s="33" t="s">
        <v>18</v>
      </c>
      <c r="B45" s="33" t="s">
        <v>3</v>
      </c>
      <c r="C45" s="49">
        <f>AVERAGE(C46:C57)</f>
        <v>383532.69235622179</v>
      </c>
      <c r="D45" s="48">
        <f t="shared" ref="D45:E45" si="4">AVERAGE(D46:D57)</f>
        <v>113816</v>
      </c>
      <c r="E45" s="48">
        <f t="shared" si="4"/>
        <v>18341.333333333332</v>
      </c>
    </row>
    <row r="46" spans="1:5" x14ac:dyDescent="0.2">
      <c r="A46" s="17"/>
      <c r="B46" s="21" t="s">
        <v>4</v>
      </c>
      <c r="C46" s="50">
        <f>(105.86/264.18)*1000000</f>
        <v>400711.63600575365</v>
      </c>
      <c r="D46" s="43">
        <v>113893</v>
      </c>
      <c r="E46" s="43">
        <v>18445</v>
      </c>
    </row>
    <row r="47" spans="1:5" x14ac:dyDescent="0.2">
      <c r="A47" s="17"/>
      <c r="B47" s="21" t="s">
        <v>5</v>
      </c>
      <c r="C47" s="50">
        <f>(107.14/264.18)*1000000</f>
        <v>405556.81732152321</v>
      </c>
      <c r="D47" s="43">
        <v>113852</v>
      </c>
      <c r="E47" s="43">
        <v>18569</v>
      </c>
    </row>
    <row r="48" spans="1:5" x14ac:dyDescent="0.2">
      <c r="A48" s="17"/>
      <c r="B48" s="21" t="s">
        <v>6</v>
      </c>
      <c r="C48" s="50">
        <f>(104.56/264.18)*1000000</f>
        <v>395790.74873192521</v>
      </c>
      <c r="D48" s="43">
        <v>113803</v>
      </c>
      <c r="E48" s="43">
        <v>18387</v>
      </c>
    </row>
    <row r="49" spans="1:5" x14ac:dyDescent="0.2">
      <c r="A49" s="17"/>
      <c r="B49" s="21" t="s">
        <v>7</v>
      </c>
      <c r="C49" s="50">
        <f>(97.945/264.18)*1000000</f>
        <v>370751.00310394424</v>
      </c>
      <c r="D49" s="43">
        <v>113720</v>
      </c>
      <c r="E49" s="43">
        <v>18276</v>
      </c>
    </row>
    <row r="50" spans="1:5" x14ac:dyDescent="0.2">
      <c r="A50" s="17"/>
      <c r="B50" s="21" t="s">
        <v>8</v>
      </c>
      <c r="C50" s="50">
        <f>(103.656/264.18)*1000000</f>
        <v>392368.83942766301</v>
      </c>
      <c r="D50" s="43">
        <v>113742</v>
      </c>
      <c r="E50" s="43">
        <v>18271</v>
      </c>
    </row>
    <row r="51" spans="1:5" x14ac:dyDescent="0.2">
      <c r="A51" s="17"/>
      <c r="B51" s="21" t="s">
        <v>9</v>
      </c>
      <c r="C51" s="50">
        <f>(101.157/264.18)*1000000</f>
        <v>382909.37996820343</v>
      </c>
      <c r="D51" s="43">
        <v>113727</v>
      </c>
      <c r="E51" s="43">
        <v>18254</v>
      </c>
    </row>
    <row r="52" spans="1:5" x14ac:dyDescent="0.2">
      <c r="A52" s="17"/>
      <c r="B52" s="21" t="s">
        <v>10</v>
      </c>
      <c r="C52" s="50">
        <f>(87.276/264.18)*1000000</f>
        <v>330365.65977742441</v>
      </c>
      <c r="D52" s="43">
        <v>113709</v>
      </c>
      <c r="E52" s="43">
        <v>18242</v>
      </c>
    </row>
    <row r="53" spans="1:5" x14ac:dyDescent="0.2">
      <c r="A53" s="17"/>
      <c r="B53" s="21" t="s">
        <v>11</v>
      </c>
      <c r="C53" s="50">
        <f>(82.32/264.18)*1000000</f>
        <v>311605.72337042924</v>
      </c>
      <c r="D53" s="43">
        <v>113808</v>
      </c>
      <c r="E53" s="43">
        <v>18334</v>
      </c>
    </row>
    <row r="54" spans="1:5" x14ac:dyDescent="0.2">
      <c r="A54" s="17"/>
      <c r="B54" s="21" t="s">
        <v>12</v>
      </c>
      <c r="C54" s="50">
        <f>(86.813/264.18)*1000000</f>
        <v>328613.06684836093</v>
      </c>
      <c r="D54" s="43">
        <v>113806</v>
      </c>
      <c r="E54" s="43">
        <v>18328</v>
      </c>
    </row>
    <row r="55" spans="1:5" x14ac:dyDescent="0.2">
      <c r="A55" s="17"/>
      <c r="B55" s="21" t="s">
        <v>13</v>
      </c>
      <c r="C55" s="50">
        <f>(90.92/264.18)*1000000</f>
        <v>344159.28533575591</v>
      </c>
      <c r="D55" s="43">
        <v>113834</v>
      </c>
      <c r="E55" s="43">
        <v>18310</v>
      </c>
    </row>
    <row r="56" spans="1:5" x14ac:dyDescent="0.2">
      <c r="A56" s="17"/>
      <c r="B56" s="21" t="s">
        <v>14</v>
      </c>
      <c r="C56" s="50">
        <f>(120.031/264.18)*1000000</f>
        <v>454353.09258838673</v>
      </c>
      <c r="D56" s="43">
        <v>113934</v>
      </c>
      <c r="E56" s="43">
        <v>18310</v>
      </c>
    </row>
    <row r="57" spans="1:5" x14ac:dyDescent="0.2">
      <c r="A57" s="17"/>
      <c r="B57" s="21" t="s">
        <v>15</v>
      </c>
      <c r="C57" s="50">
        <f>(128.182/264.18)*1000000</f>
        <v>485207.05579529103</v>
      </c>
      <c r="D57" s="43">
        <v>113964</v>
      </c>
      <c r="E57" s="43">
        <v>18370</v>
      </c>
    </row>
    <row r="58" spans="1:5" ht="24" customHeight="1" x14ac:dyDescent="0.2">
      <c r="A58" s="33" t="s">
        <v>19</v>
      </c>
      <c r="B58" s="33" t="s">
        <v>3</v>
      </c>
      <c r="C58" s="49">
        <f>AVERAGE(C59:C70)</f>
        <v>85957.491104549918</v>
      </c>
      <c r="D58" s="48">
        <f t="shared" ref="D58:E58" si="5">AVERAGE(D59:D70)</f>
        <v>36600.833333333336</v>
      </c>
      <c r="E58" s="48">
        <f t="shared" si="5"/>
        <v>4562.5</v>
      </c>
    </row>
    <row r="59" spans="1:5" x14ac:dyDescent="0.2">
      <c r="A59" s="17"/>
      <c r="B59" s="21" t="s">
        <v>4</v>
      </c>
      <c r="C59" s="50">
        <f>(23.49/264.18)*1000000</f>
        <v>88916.647740177141</v>
      </c>
      <c r="D59" s="43">
        <v>36503</v>
      </c>
      <c r="E59" s="43">
        <v>4326</v>
      </c>
    </row>
    <row r="60" spans="1:5" x14ac:dyDescent="0.2">
      <c r="A60" s="17"/>
      <c r="B60" s="21" t="s">
        <v>5</v>
      </c>
      <c r="C60" s="50">
        <f>(24.16/264.18)*1000000</f>
        <v>91452.797335150273</v>
      </c>
      <c r="D60" s="43">
        <v>36495</v>
      </c>
      <c r="E60" s="43">
        <v>4502</v>
      </c>
    </row>
    <row r="61" spans="1:5" x14ac:dyDescent="0.2">
      <c r="A61" s="17"/>
      <c r="B61" s="21" t="s">
        <v>6</v>
      </c>
      <c r="C61" s="50">
        <f>(23.62/264.18)*1000000</f>
        <v>89408.736467559997</v>
      </c>
      <c r="D61" s="43">
        <v>36495</v>
      </c>
      <c r="E61" s="43">
        <v>4316</v>
      </c>
    </row>
    <row r="62" spans="1:5" x14ac:dyDescent="0.2">
      <c r="A62" s="17"/>
      <c r="B62" s="21" t="s">
        <v>7</v>
      </c>
      <c r="C62" s="50">
        <f>(22.188/264.18)*1000000</f>
        <v>83988.189870542803</v>
      </c>
      <c r="D62" s="43">
        <v>36487</v>
      </c>
      <c r="E62" s="43">
        <v>4310</v>
      </c>
    </row>
    <row r="63" spans="1:5" x14ac:dyDescent="0.2">
      <c r="A63" s="17"/>
      <c r="B63" s="21" t="s">
        <v>8</v>
      </c>
      <c r="C63" s="50">
        <f>(22.1/264.18)*1000000</f>
        <v>83655.083655083654</v>
      </c>
      <c r="D63" s="43">
        <v>36486</v>
      </c>
      <c r="E63" s="43">
        <v>4308</v>
      </c>
    </row>
    <row r="64" spans="1:5" x14ac:dyDescent="0.2">
      <c r="A64" s="17"/>
      <c r="B64" s="21" t="s">
        <v>9</v>
      </c>
      <c r="C64" s="50">
        <f>(20.611/264.18)*1000000</f>
        <v>78018.775077598606</v>
      </c>
      <c r="D64" s="43">
        <v>36480</v>
      </c>
      <c r="E64" s="43">
        <v>4304</v>
      </c>
    </row>
    <row r="65" spans="1:5" x14ac:dyDescent="0.2">
      <c r="A65" s="17"/>
      <c r="B65" s="21" t="s">
        <v>10</v>
      </c>
      <c r="C65" s="50">
        <f>(22.136/264.18)*1000000</f>
        <v>83791.354379589669</v>
      </c>
      <c r="D65" s="43">
        <v>36484</v>
      </c>
      <c r="E65" s="43">
        <v>4303</v>
      </c>
    </row>
    <row r="66" spans="1:5" x14ac:dyDescent="0.2">
      <c r="A66" s="17"/>
      <c r="B66" s="21" t="s">
        <v>11</v>
      </c>
      <c r="C66" s="50">
        <f>(21.358/264.18)*1000000</f>
        <v>80846.39261109849</v>
      </c>
      <c r="D66" s="43">
        <v>36481</v>
      </c>
      <c r="E66" s="43">
        <v>4703</v>
      </c>
    </row>
    <row r="67" spans="1:5" x14ac:dyDescent="0.2">
      <c r="A67" s="17"/>
      <c r="B67" s="21" t="s">
        <v>12</v>
      </c>
      <c r="C67" s="50">
        <f>(21.187/264.18)*1000000</f>
        <v>80199.106669694898</v>
      </c>
      <c r="D67" s="43">
        <v>36689</v>
      </c>
      <c r="E67" s="43">
        <v>4874</v>
      </c>
    </row>
    <row r="68" spans="1:5" x14ac:dyDescent="0.2">
      <c r="A68" s="17"/>
      <c r="B68" s="21" t="s">
        <v>13</v>
      </c>
      <c r="C68" s="50">
        <f>(21.7/264.18)*1000000</f>
        <v>82140.96449390566</v>
      </c>
      <c r="D68" s="43">
        <v>36860</v>
      </c>
      <c r="E68" s="43">
        <v>4878</v>
      </c>
    </row>
    <row r="69" spans="1:5" x14ac:dyDescent="0.2">
      <c r="A69" s="17"/>
      <c r="B69" s="21" t="s">
        <v>14</v>
      </c>
      <c r="C69" s="50">
        <f>(24.578/264.18)*1000000</f>
        <v>93035.051858581268</v>
      </c>
      <c r="D69" s="43">
        <v>36843</v>
      </c>
      <c r="E69" s="43">
        <v>4942</v>
      </c>
    </row>
    <row r="70" spans="1:5" x14ac:dyDescent="0.2">
      <c r="A70" s="34"/>
      <c r="B70" s="26" t="s">
        <v>15</v>
      </c>
      <c r="C70" s="51">
        <f>(25.371/264.18)*1000000</f>
        <v>96036.793095616624</v>
      </c>
      <c r="D70" s="45">
        <v>36907</v>
      </c>
      <c r="E70" s="45">
        <v>4984</v>
      </c>
    </row>
    <row r="71" spans="1:5" x14ac:dyDescent="0.2">
      <c r="A71" s="47" t="s">
        <v>63</v>
      </c>
      <c r="B71" s="21"/>
      <c r="C71" s="24"/>
      <c r="D71" s="22"/>
      <c r="E71" s="22"/>
    </row>
    <row r="72" spans="1:5" ht="17.25" customHeight="1" x14ac:dyDescent="0.2">
      <c r="A72" s="77" t="s">
        <v>51</v>
      </c>
      <c r="B72" s="77"/>
      <c r="C72" s="77"/>
      <c r="D72" s="77"/>
      <c r="E72" s="77"/>
    </row>
    <row r="73" spans="1:5" ht="11.25" customHeight="1" x14ac:dyDescent="0.2">
      <c r="A73" s="77" t="s">
        <v>33</v>
      </c>
      <c r="B73" s="77"/>
      <c r="C73" s="77"/>
      <c r="D73" s="77"/>
      <c r="E73" s="77"/>
    </row>
    <row r="74" spans="1:5" ht="12" customHeight="1" x14ac:dyDescent="0.2">
      <c r="A74" s="72" t="s">
        <v>26</v>
      </c>
      <c r="B74" s="72"/>
      <c r="C74" s="72"/>
      <c r="D74" s="72"/>
      <c r="E74" s="72"/>
    </row>
    <row r="75" spans="1:5" ht="11.25" customHeight="1" x14ac:dyDescent="0.2">
      <c r="A75" s="77" t="s">
        <v>34</v>
      </c>
      <c r="B75" s="77"/>
      <c r="C75" s="77"/>
      <c r="D75" s="77"/>
      <c r="E75" s="77"/>
    </row>
    <row r="76" spans="1:5" ht="11.25" customHeight="1" x14ac:dyDescent="0.2">
      <c r="A76" s="77" t="s">
        <v>24</v>
      </c>
      <c r="B76" s="77"/>
      <c r="C76" s="77"/>
      <c r="D76" s="77"/>
      <c r="E76" s="77"/>
    </row>
    <row r="77" spans="1:5" ht="18.75" customHeight="1" x14ac:dyDescent="0.2">
      <c r="A77" s="77" t="s">
        <v>23</v>
      </c>
      <c r="B77" s="77"/>
      <c r="C77" s="77"/>
      <c r="D77" s="77"/>
      <c r="E77" s="77"/>
    </row>
  </sheetData>
  <mergeCells count="10">
    <mergeCell ref="A73:E73"/>
    <mergeCell ref="A75:E75"/>
    <mergeCell ref="A76:E76"/>
    <mergeCell ref="A77:E77"/>
    <mergeCell ref="A74:E74"/>
    <mergeCell ref="A1:E1"/>
    <mergeCell ref="A4:A5"/>
    <mergeCell ref="B4:B5"/>
    <mergeCell ref="A72:E72"/>
    <mergeCell ref="A2:E2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7"/>
  <sheetViews>
    <sheetView workbookViewId="0">
      <selection activeCell="G6" sqref="G6"/>
    </sheetView>
  </sheetViews>
  <sheetFormatPr baseColWidth="10" defaultColWidth="11.42578125" defaultRowHeight="12" x14ac:dyDescent="0.2"/>
  <cols>
    <col min="1" max="1" width="15.7109375" style="9" customWidth="1"/>
    <col min="2" max="2" width="16.140625" style="9" customWidth="1"/>
    <col min="3" max="5" width="19" style="9" customWidth="1"/>
    <col min="6" max="16384" width="11.42578125" style="9"/>
  </cols>
  <sheetData>
    <row r="1" spans="1:11" ht="18.75" customHeight="1" x14ac:dyDescent="0.2">
      <c r="A1" s="17"/>
      <c r="B1" s="17"/>
      <c r="C1" s="17"/>
      <c r="D1" s="17"/>
      <c r="E1" s="17"/>
    </row>
    <row r="2" spans="1:11" ht="28.5" customHeight="1" x14ac:dyDescent="0.2">
      <c r="A2" s="78" t="s">
        <v>67</v>
      </c>
      <c r="B2" s="78"/>
      <c r="C2" s="78"/>
      <c r="D2" s="78"/>
      <c r="E2" s="78"/>
      <c r="F2" s="67"/>
      <c r="G2" s="67"/>
      <c r="H2" s="67"/>
      <c r="I2" s="67"/>
      <c r="J2" s="67"/>
      <c r="K2" s="67"/>
    </row>
    <row r="3" spans="1:11" x14ac:dyDescent="0.2">
      <c r="A3" s="17"/>
      <c r="B3" s="18"/>
      <c r="C3" s="19"/>
      <c r="D3" s="17"/>
      <c r="E3" s="17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1" ht="14.25" x14ac:dyDescent="0.2">
      <c r="A5" s="76"/>
      <c r="B5" s="76"/>
      <c r="C5" s="28" t="s">
        <v>32</v>
      </c>
      <c r="D5" s="28"/>
      <c r="E5" s="28"/>
    </row>
    <row r="6" spans="1:11" ht="17.25" customHeight="1" x14ac:dyDescent="0.2">
      <c r="A6" s="39" t="s">
        <v>55</v>
      </c>
      <c r="B6" s="29"/>
      <c r="C6" s="52">
        <f>AVERAGE(C7:C18)</f>
        <v>1320178.1613546319</v>
      </c>
      <c r="D6" s="40">
        <f t="shared" ref="D6:E6" si="0">AVERAGE(D7:D18)</f>
        <v>358879.5</v>
      </c>
      <c r="E6" s="40">
        <f t="shared" si="0"/>
        <v>111114.5</v>
      </c>
    </row>
    <row r="7" spans="1:11" ht="15.75" customHeight="1" x14ac:dyDescent="0.2">
      <c r="A7" s="31" t="s">
        <v>2</v>
      </c>
      <c r="B7" s="21" t="s">
        <v>4</v>
      </c>
      <c r="C7" s="40">
        <f t="shared" ref="C7:E18" si="1">C20+C33+C46+C59</f>
        <v>1342240.1392989629</v>
      </c>
      <c r="D7" s="40">
        <f t="shared" si="1"/>
        <v>357679</v>
      </c>
      <c r="E7" s="40">
        <f t="shared" si="1"/>
        <v>109018</v>
      </c>
    </row>
    <row r="8" spans="1:11" x14ac:dyDescent="0.2">
      <c r="A8" s="29"/>
      <c r="B8" s="21" t="s">
        <v>5</v>
      </c>
      <c r="C8" s="40">
        <f t="shared" si="1"/>
        <v>1442717.0868347338</v>
      </c>
      <c r="D8" s="40">
        <f t="shared" si="1"/>
        <v>357651</v>
      </c>
      <c r="E8" s="40">
        <f t="shared" si="1"/>
        <v>109212</v>
      </c>
    </row>
    <row r="9" spans="1:11" x14ac:dyDescent="0.2">
      <c r="A9" s="29"/>
      <c r="B9" s="21" t="s">
        <v>6</v>
      </c>
      <c r="C9" s="40">
        <f t="shared" si="1"/>
        <v>1352297.6758270876</v>
      </c>
      <c r="D9" s="40">
        <f t="shared" si="1"/>
        <v>357712</v>
      </c>
      <c r="E9" s="40">
        <f t="shared" si="1"/>
        <v>109562</v>
      </c>
    </row>
    <row r="10" spans="1:11" x14ac:dyDescent="0.2">
      <c r="A10" s="29"/>
      <c r="B10" s="21" t="s">
        <v>7</v>
      </c>
      <c r="C10" s="40">
        <f t="shared" si="1"/>
        <v>1303278.0679839503</v>
      </c>
      <c r="D10" s="40">
        <f t="shared" si="1"/>
        <v>357966</v>
      </c>
      <c r="E10" s="40">
        <f t="shared" si="1"/>
        <v>110111</v>
      </c>
    </row>
    <row r="11" spans="1:11" x14ac:dyDescent="0.2">
      <c r="A11" s="29"/>
      <c r="B11" s="21" t="s">
        <v>8</v>
      </c>
      <c r="C11" s="40">
        <f t="shared" si="1"/>
        <v>1225717.313952608</v>
      </c>
      <c r="D11" s="40">
        <f t="shared" si="1"/>
        <v>358252</v>
      </c>
      <c r="E11" s="40">
        <f t="shared" si="1"/>
        <v>110637</v>
      </c>
    </row>
    <row r="12" spans="1:11" x14ac:dyDescent="0.2">
      <c r="A12" s="29"/>
      <c r="B12" s="21" t="s">
        <v>9</v>
      </c>
      <c r="C12" s="40">
        <f t="shared" si="1"/>
        <v>1278136.11931259</v>
      </c>
      <c r="D12" s="40">
        <f t="shared" si="1"/>
        <v>358552</v>
      </c>
      <c r="E12" s="40">
        <f t="shared" si="1"/>
        <v>111270</v>
      </c>
    </row>
    <row r="13" spans="1:11" x14ac:dyDescent="0.2">
      <c r="A13" s="29"/>
      <c r="B13" s="21" t="s">
        <v>10</v>
      </c>
      <c r="C13" s="40">
        <f t="shared" si="1"/>
        <v>1276148.8379135437</v>
      </c>
      <c r="D13" s="40">
        <f t="shared" si="1"/>
        <v>358652</v>
      </c>
      <c r="E13" s="40">
        <f t="shared" si="1"/>
        <v>111476</v>
      </c>
    </row>
    <row r="14" spans="1:11" x14ac:dyDescent="0.2">
      <c r="A14" s="29"/>
      <c r="B14" s="21" t="s">
        <v>11</v>
      </c>
      <c r="C14" s="40">
        <f t="shared" si="1"/>
        <v>1171981.2249224014</v>
      </c>
      <c r="D14" s="40">
        <f t="shared" si="1"/>
        <v>358984</v>
      </c>
      <c r="E14" s="40">
        <f t="shared" si="1"/>
        <v>111548</v>
      </c>
    </row>
    <row r="15" spans="1:11" x14ac:dyDescent="0.2">
      <c r="A15" s="29"/>
      <c r="B15" s="21" t="s">
        <v>12</v>
      </c>
      <c r="C15" s="40">
        <f t="shared" si="1"/>
        <v>1329998.4858808387</v>
      </c>
      <c r="D15" s="40">
        <f t="shared" si="1"/>
        <v>359896</v>
      </c>
      <c r="E15" s="40">
        <f t="shared" si="1"/>
        <v>112418</v>
      </c>
    </row>
    <row r="16" spans="1:11" x14ac:dyDescent="0.2">
      <c r="A16" s="29"/>
      <c r="B16" s="21" t="s">
        <v>13</v>
      </c>
      <c r="C16" s="40">
        <f t="shared" si="1"/>
        <v>1283291.695056401</v>
      </c>
      <c r="D16" s="40">
        <f t="shared" si="1"/>
        <v>360543</v>
      </c>
      <c r="E16" s="40">
        <f t="shared" si="1"/>
        <v>112688</v>
      </c>
    </row>
    <row r="17" spans="1:5" x14ac:dyDescent="0.2">
      <c r="A17" s="29"/>
      <c r="B17" s="21" t="s">
        <v>14</v>
      </c>
      <c r="C17" s="40">
        <f t="shared" si="1"/>
        <v>1393720.1907790143</v>
      </c>
      <c r="D17" s="40">
        <f t="shared" si="1"/>
        <v>360771</v>
      </c>
      <c r="E17" s="40">
        <f t="shared" si="1"/>
        <v>113016</v>
      </c>
    </row>
    <row r="18" spans="1:5" x14ac:dyDescent="0.2">
      <c r="A18" s="29"/>
      <c r="B18" s="21" t="s">
        <v>15</v>
      </c>
      <c r="C18" s="40">
        <f t="shared" si="1"/>
        <v>1442611.0984934517</v>
      </c>
      <c r="D18" s="40">
        <f t="shared" si="1"/>
        <v>359896</v>
      </c>
      <c r="E18" s="40">
        <f t="shared" si="1"/>
        <v>112418</v>
      </c>
    </row>
    <row r="19" spans="1:5" ht="23.25" customHeight="1" x14ac:dyDescent="0.2">
      <c r="A19" s="33" t="s">
        <v>16</v>
      </c>
      <c r="B19" s="33" t="s">
        <v>3</v>
      </c>
      <c r="C19" s="49">
        <f>AVERAGE(C20:C31)</f>
        <v>481587.04923410801</v>
      </c>
      <c r="D19" s="48">
        <f t="shared" ref="D19:E19" si="2">AVERAGE(D20:D31)</f>
        <v>97813.416666666672</v>
      </c>
      <c r="E19" s="48">
        <f t="shared" si="2"/>
        <v>42048.833333333336</v>
      </c>
    </row>
    <row r="20" spans="1:5" x14ac:dyDescent="0.2">
      <c r="A20" s="17"/>
      <c r="B20" s="21" t="s">
        <v>4</v>
      </c>
      <c r="C20" s="50">
        <f>(121.28/264.18)*1000000</f>
        <v>459080.92966916499</v>
      </c>
      <c r="D20" s="43">
        <v>97856</v>
      </c>
      <c r="E20" s="43">
        <v>41482</v>
      </c>
    </row>
    <row r="21" spans="1:5" x14ac:dyDescent="0.2">
      <c r="A21" s="17"/>
      <c r="B21" s="21" t="s">
        <v>5</v>
      </c>
      <c r="C21" s="50">
        <f>(145.177/264.18)*1000000</f>
        <v>549538.1936558407</v>
      </c>
      <c r="D21" s="43">
        <v>97829</v>
      </c>
      <c r="E21" s="43">
        <v>41583</v>
      </c>
    </row>
    <row r="22" spans="1:5" x14ac:dyDescent="0.2">
      <c r="A22" s="17"/>
      <c r="B22" s="21" t="s">
        <v>6</v>
      </c>
      <c r="C22" s="50">
        <f>(134.48/264.18)*1000000</f>
        <v>509046.86198803841</v>
      </c>
      <c r="D22" s="43">
        <v>97843</v>
      </c>
      <c r="E22" s="43">
        <v>41838</v>
      </c>
    </row>
    <row r="23" spans="1:5" x14ac:dyDescent="0.2">
      <c r="A23" s="17"/>
      <c r="B23" s="21" t="s">
        <v>7</v>
      </c>
      <c r="C23" s="50">
        <f>(131.05/264.18)*1000000</f>
        <v>496063.29018093727</v>
      </c>
      <c r="D23" s="43">
        <v>97811</v>
      </c>
      <c r="E23" s="43">
        <v>41977</v>
      </c>
    </row>
    <row r="24" spans="1:5" x14ac:dyDescent="0.2">
      <c r="A24" s="17"/>
      <c r="B24" s="21" t="s">
        <v>8</v>
      </c>
      <c r="C24" s="50">
        <f>(120.67/264.18)*1000000</f>
        <v>456771.89794836851</v>
      </c>
      <c r="D24" s="43">
        <v>97804</v>
      </c>
      <c r="E24" s="43">
        <v>42026</v>
      </c>
    </row>
    <row r="25" spans="1:5" x14ac:dyDescent="0.2">
      <c r="A25" s="17"/>
      <c r="B25" s="21" t="s">
        <v>9</v>
      </c>
      <c r="C25" s="50">
        <f>(122.193/264.18)*1000000</f>
        <v>462536.90665455372</v>
      </c>
      <c r="D25" s="43">
        <v>97807</v>
      </c>
      <c r="E25" s="43">
        <v>42165</v>
      </c>
    </row>
    <row r="26" spans="1:5" x14ac:dyDescent="0.2">
      <c r="A26" s="17"/>
      <c r="B26" s="21" t="s">
        <v>10</v>
      </c>
      <c r="C26" s="50">
        <f>(117.182/264.18)*1000000</f>
        <v>443568.77886289655</v>
      </c>
      <c r="D26" s="43">
        <v>97805</v>
      </c>
      <c r="E26" s="43">
        <v>42228</v>
      </c>
    </row>
    <row r="27" spans="1:5" x14ac:dyDescent="0.2">
      <c r="A27" s="17"/>
      <c r="B27" s="21" t="s">
        <v>11</v>
      </c>
      <c r="C27" s="50">
        <f>(104.67/264.18)*1000000</f>
        <v>396207.13150124915</v>
      </c>
      <c r="D27" s="43">
        <v>97804</v>
      </c>
      <c r="E27" s="43">
        <v>42240</v>
      </c>
    </row>
    <row r="28" spans="1:5" x14ac:dyDescent="0.2">
      <c r="A28" s="17"/>
      <c r="B28" s="21" t="s">
        <v>12</v>
      </c>
      <c r="C28" s="50">
        <f>(130.377/264.18)*1000000</f>
        <v>493515.78469225531</v>
      </c>
      <c r="D28" s="43">
        <v>97793</v>
      </c>
      <c r="E28" s="43">
        <v>42253</v>
      </c>
    </row>
    <row r="29" spans="1:5" x14ac:dyDescent="0.2">
      <c r="A29" s="17"/>
      <c r="B29" s="21" t="s">
        <v>13</v>
      </c>
      <c r="C29" s="50">
        <f>(114.43/264.18)*1000000</f>
        <v>433151.63903399202</v>
      </c>
      <c r="D29" s="43">
        <v>97807</v>
      </c>
      <c r="E29" s="43">
        <v>42263</v>
      </c>
    </row>
    <row r="30" spans="1:5" x14ac:dyDescent="0.2">
      <c r="A30" s="17"/>
      <c r="B30" s="21" t="s">
        <v>14</v>
      </c>
      <c r="C30" s="50">
        <f>(141.215/264.18)*1000000</f>
        <v>534540.84336437285</v>
      </c>
      <c r="D30" s="43">
        <v>97809</v>
      </c>
      <c r="E30" s="43">
        <v>42278</v>
      </c>
    </row>
    <row r="31" spans="1:5" x14ac:dyDescent="0.2">
      <c r="A31" s="17"/>
      <c r="B31" s="21" t="s">
        <v>15</v>
      </c>
      <c r="C31" s="50">
        <f>(143.984/264.18)*1000000</f>
        <v>545022.33325762744</v>
      </c>
      <c r="D31" s="43">
        <v>97793</v>
      </c>
      <c r="E31" s="43">
        <v>42253</v>
      </c>
    </row>
    <row r="32" spans="1:5" ht="24" customHeight="1" x14ac:dyDescent="0.2">
      <c r="A32" s="33" t="s">
        <v>17</v>
      </c>
      <c r="B32" s="33" t="s">
        <v>3</v>
      </c>
      <c r="C32" s="49">
        <f>AVERAGE(C33:C44)</f>
        <v>324040.74242309533</v>
      </c>
      <c r="D32" s="48">
        <f t="shared" ref="D32:E32" si="3">AVERAGE(D33:D44)</f>
        <v>109691.08333333333</v>
      </c>
      <c r="E32" s="48">
        <f t="shared" si="3"/>
        <v>45239.5</v>
      </c>
    </row>
    <row r="33" spans="1:5" x14ac:dyDescent="0.2">
      <c r="A33" s="17"/>
      <c r="B33" s="21" t="s">
        <v>4</v>
      </c>
      <c r="C33" s="50">
        <f>(83.24/264.18)*1000000</f>
        <v>315088.19744113856</v>
      </c>
      <c r="D33" s="43">
        <v>108736</v>
      </c>
      <c r="E33" s="43">
        <v>43907</v>
      </c>
    </row>
    <row r="34" spans="1:5" x14ac:dyDescent="0.2">
      <c r="A34" s="17"/>
      <c r="B34" s="21" t="s">
        <v>5</v>
      </c>
      <c r="C34" s="50">
        <f>(90.35/264.18)*1000000</f>
        <v>342001.66553107725</v>
      </c>
      <c r="D34" s="43">
        <v>108796</v>
      </c>
      <c r="E34" s="43">
        <v>43958</v>
      </c>
    </row>
    <row r="35" spans="1:5" x14ac:dyDescent="0.2">
      <c r="A35" s="17"/>
      <c r="B35" s="21" t="s">
        <v>6</v>
      </c>
      <c r="C35" s="50">
        <f>(86.59/264.18)*1000000</f>
        <v>327768.94541600428</v>
      </c>
      <c r="D35" s="43">
        <v>108802</v>
      </c>
      <c r="E35" s="43">
        <v>44069</v>
      </c>
    </row>
    <row r="36" spans="1:5" x14ac:dyDescent="0.2">
      <c r="A36" s="17"/>
      <c r="B36" s="21" t="s">
        <v>7</v>
      </c>
      <c r="C36" s="50">
        <f>(85.31/264.18)*1000000</f>
        <v>322923.76410023472</v>
      </c>
      <c r="D36" s="43">
        <v>109095</v>
      </c>
      <c r="E36" s="43">
        <v>44483</v>
      </c>
    </row>
    <row r="37" spans="1:5" x14ac:dyDescent="0.2">
      <c r="A37" s="17"/>
      <c r="B37" s="21" t="s">
        <v>8</v>
      </c>
      <c r="C37" s="50">
        <f>(84.11/264.18)*1000000</f>
        <v>318381.4066167007</v>
      </c>
      <c r="D37" s="43">
        <v>109379</v>
      </c>
      <c r="E37" s="43">
        <v>44951</v>
      </c>
    </row>
    <row r="38" spans="1:5" x14ac:dyDescent="0.2">
      <c r="A38" s="17"/>
      <c r="B38" s="21" t="s">
        <v>9</v>
      </c>
      <c r="C38" s="50">
        <f>(87.058/264.18)*1000000</f>
        <v>329540.46483458247</v>
      </c>
      <c r="D38" s="43">
        <v>109630</v>
      </c>
      <c r="E38" s="43">
        <v>45438</v>
      </c>
    </row>
    <row r="39" spans="1:5" x14ac:dyDescent="0.2">
      <c r="A39" s="17"/>
      <c r="B39" s="21" t="s">
        <v>10</v>
      </c>
      <c r="C39" s="50">
        <f>(82.964/264.18)*1000000</f>
        <v>314043.45521992579</v>
      </c>
      <c r="D39" s="43">
        <v>109678</v>
      </c>
      <c r="E39" s="43">
        <v>45563</v>
      </c>
    </row>
    <row r="40" spans="1:5" x14ac:dyDescent="0.2">
      <c r="A40" s="17"/>
      <c r="B40" s="21" t="s">
        <v>11</v>
      </c>
      <c r="C40" s="50">
        <f>(75.341/264.18)*1000000</f>
        <v>285188.12930577638</v>
      </c>
      <c r="D40" s="43">
        <v>109921</v>
      </c>
      <c r="E40" s="43">
        <v>45271</v>
      </c>
    </row>
    <row r="41" spans="1:5" x14ac:dyDescent="0.2">
      <c r="A41" s="17"/>
      <c r="B41" s="21" t="s">
        <v>12</v>
      </c>
      <c r="C41" s="50">
        <f>(81.636/264.18)*1000000</f>
        <v>309016.57960481488</v>
      </c>
      <c r="D41" s="43">
        <v>110371</v>
      </c>
      <c r="E41" s="43">
        <v>46122</v>
      </c>
    </row>
    <row r="42" spans="1:5" x14ac:dyDescent="0.2">
      <c r="A42" s="17"/>
      <c r="B42" s="21" t="s">
        <v>13</v>
      </c>
      <c r="C42" s="50">
        <f>(80.78/264.18)*1000000</f>
        <v>305776.36459989398</v>
      </c>
      <c r="D42" s="43">
        <v>110710</v>
      </c>
      <c r="E42" s="43">
        <v>46363</v>
      </c>
    </row>
    <row r="43" spans="1:5" x14ac:dyDescent="0.2">
      <c r="A43" s="17"/>
      <c r="B43" s="21" t="s">
        <v>14</v>
      </c>
      <c r="C43" s="50">
        <f>(90.312/264.18)*1000000</f>
        <v>341857.82421076536</v>
      </c>
      <c r="D43" s="43">
        <v>110804</v>
      </c>
      <c r="E43" s="43">
        <v>46627</v>
      </c>
    </row>
    <row r="44" spans="1:5" x14ac:dyDescent="0.2">
      <c r="A44" s="17"/>
      <c r="B44" s="21" t="s">
        <v>15</v>
      </c>
      <c r="C44" s="50">
        <f>(99.57/264.18)*1000000</f>
        <v>376902.11219622981</v>
      </c>
      <c r="D44" s="43">
        <v>110371</v>
      </c>
      <c r="E44" s="43">
        <v>46122</v>
      </c>
    </row>
    <row r="45" spans="1:5" ht="24.75" customHeight="1" x14ac:dyDescent="0.2">
      <c r="A45" s="33" t="s">
        <v>18</v>
      </c>
      <c r="B45" s="33" t="s">
        <v>3</v>
      </c>
      <c r="C45" s="49">
        <f>AVERAGE(C46:C57)</f>
        <v>411894.98321851267</v>
      </c>
      <c r="D45" s="48">
        <f t="shared" ref="D45:E45" si="4">AVERAGE(D46:D57)</f>
        <v>114180.16666666667</v>
      </c>
      <c r="E45" s="48">
        <f t="shared" si="4"/>
        <v>18623.75</v>
      </c>
    </row>
    <row r="46" spans="1:5" x14ac:dyDescent="0.2">
      <c r="A46" s="17"/>
      <c r="B46" s="21" t="s">
        <v>4</v>
      </c>
      <c r="C46" s="50">
        <f>(122.333/264.18)*1000000</f>
        <v>463066.84836096602</v>
      </c>
      <c r="D46" s="43">
        <v>114138</v>
      </c>
      <c r="E46" s="43">
        <v>18638</v>
      </c>
    </row>
    <row r="47" spans="1:5" x14ac:dyDescent="0.2">
      <c r="A47" s="17"/>
      <c r="B47" s="21" t="s">
        <v>5</v>
      </c>
      <c r="C47" s="50">
        <f>(119.39/264.18)*1000000</f>
        <v>451926.71663259895</v>
      </c>
      <c r="D47" s="43">
        <v>114071</v>
      </c>
      <c r="E47" s="43">
        <v>18667</v>
      </c>
    </row>
    <row r="48" spans="1:5" x14ac:dyDescent="0.2">
      <c r="A48" s="17"/>
      <c r="B48" s="21" t="s">
        <v>6</v>
      </c>
      <c r="C48" s="50">
        <f>(109.87/264.18)*1000000</f>
        <v>415890.68059656298</v>
      </c>
      <c r="D48" s="43">
        <v>114105</v>
      </c>
      <c r="E48" s="43">
        <v>18660</v>
      </c>
    </row>
    <row r="49" spans="1:5" x14ac:dyDescent="0.2">
      <c r="A49" s="17"/>
      <c r="B49" s="21" t="s">
        <v>7</v>
      </c>
      <c r="C49" s="50">
        <f>(100.89/264.18)*1000000</f>
        <v>381898.70542811713</v>
      </c>
      <c r="D49" s="43">
        <v>114106</v>
      </c>
      <c r="E49" s="43">
        <v>18660</v>
      </c>
    </row>
    <row r="50" spans="1:5" x14ac:dyDescent="0.2">
      <c r="A50" s="17"/>
      <c r="B50" s="21" t="s">
        <v>8</v>
      </c>
      <c r="C50" s="50">
        <f>(92.25/264.18)*1000000</f>
        <v>349193.7315466727</v>
      </c>
      <c r="D50" s="43">
        <v>114126</v>
      </c>
      <c r="E50" s="43">
        <v>18661</v>
      </c>
    </row>
    <row r="51" spans="1:5" x14ac:dyDescent="0.2">
      <c r="A51" s="17"/>
      <c r="B51" s="21" t="s">
        <v>9</v>
      </c>
      <c r="C51" s="50">
        <f>(101.89/264.18)*1000000</f>
        <v>385684.00333106209</v>
      </c>
      <c r="D51" s="43">
        <v>114131</v>
      </c>
      <c r="E51" s="43">
        <v>18643</v>
      </c>
    </row>
    <row r="52" spans="1:5" x14ac:dyDescent="0.2">
      <c r="A52" s="17"/>
      <c r="B52" s="21" t="s">
        <v>10</v>
      </c>
      <c r="C52" s="50">
        <f>(109.716/264.18)*1000000</f>
        <v>415307.74471950938</v>
      </c>
      <c r="D52" s="43">
        <v>114135</v>
      </c>
      <c r="E52" s="43">
        <v>18630</v>
      </c>
    </row>
    <row r="53" spans="1:5" x14ac:dyDescent="0.2">
      <c r="A53" s="17"/>
      <c r="B53" s="21" t="s">
        <v>11</v>
      </c>
      <c r="C53" s="50">
        <f>(103.282/264.18)*1000000</f>
        <v>390953.13801196154</v>
      </c>
      <c r="D53" s="43">
        <v>114141</v>
      </c>
      <c r="E53" s="43">
        <v>18608</v>
      </c>
    </row>
    <row r="54" spans="1:5" x14ac:dyDescent="0.2">
      <c r="A54" s="17"/>
      <c r="B54" s="21" t="s">
        <v>12</v>
      </c>
      <c r="C54" s="50">
        <f>(112.484/264.18)*1000000</f>
        <v>425785.44931486109</v>
      </c>
      <c r="D54" s="43">
        <v>114221</v>
      </c>
      <c r="E54" s="43">
        <v>18589</v>
      </c>
    </row>
    <row r="55" spans="1:5" x14ac:dyDescent="0.2">
      <c r="A55" s="17"/>
      <c r="B55" s="21" t="s">
        <v>13</v>
      </c>
      <c r="C55" s="50">
        <f>(118.63/264.18)*1000000</f>
        <v>449049.89022636076</v>
      </c>
      <c r="D55" s="43">
        <v>114331</v>
      </c>
      <c r="E55" s="43">
        <v>18574</v>
      </c>
    </row>
    <row r="56" spans="1:5" x14ac:dyDescent="0.2">
      <c r="A56" s="17"/>
      <c r="B56" s="21" t="s">
        <v>14</v>
      </c>
      <c r="C56" s="50">
        <f>(108.867/264.18)*1000000</f>
        <v>412094.02679990913</v>
      </c>
      <c r="D56" s="43">
        <v>114436</v>
      </c>
      <c r="E56" s="43">
        <v>18566</v>
      </c>
    </row>
    <row r="57" spans="1:5" x14ac:dyDescent="0.2">
      <c r="A57" s="17"/>
      <c r="B57" s="21" t="s">
        <v>15</v>
      </c>
      <c r="C57" s="50">
        <f>(106.171/264.18)*1000000</f>
        <v>401888.8636535696</v>
      </c>
      <c r="D57" s="43">
        <v>114221</v>
      </c>
      <c r="E57" s="43">
        <v>18589</v>
      </c>
    </row>
    <row r="58" spans="1:5" ht="22.5" customHeight="1" x14ac:dyDescent="0.2">
      <c r="A58" s="33" t="s">
        <v>19</v>
      </c>
      <c r="B58" s="33" t="s">
        <v>3</v>
      </c>
      <c r="C58" s="49">
        <f>AVERAGE(C59:C70)</f>
        <v>102655.38647891588</v>
      </c>
      <c r="D58" s="48">
        <f t="shared" ref="D58:E58" si="5">AVERAGE(D59:D70)</f>
        <v>37194.833333333336</v>
      </c>
      <c r="E58" s="48">
        <f t="shared" si="5"/>
        <v>5202.416666666667</v>
      </c>
    </row>
    <row r="59" spans="1:5" x14ac:dyDescent="0.2">
      <c r="A59" s="17"/>
      <c r="B59" s="21" t="s">
        <v>4</v>
      </c>
      <c r="C59" s="50">
        <f>(27.74/264.18)*1000000</f>
        <v>105004.16382769324</v>
      </c>
      <c r="D59" s="43">
        <v>36949</v>
      </c>
      <c r="E59" s="43">
        <v>4991</v>
      </c>
    </row>
    <row r="60" spans="1:5" x14ac:dyDescent="0.2">
      <c r="A60" s="17"/>
      <c r="B60" s="21" t="s">
        <v>5</v>
      </c>
      <c r="C60" s="50">
        <f>(26.22/264.18)*1000000</f>
        <v>99250.511015216893</v>
      </c>
      <c r="D60" s="43">
        <v>36955</v>
      </c>
      <c r="E60" s="43">
        <v>5004</v>
      </c>
    </row>
    <row r="61" spans="1:5" x14ac:dyDescent="0.2">
      <c r="A61" s="17"/>
      <c r="B61" s="21" t="s">
        <v>6</v>
      </c>
      <c r="C61" s="50">
        <f>(26.31/264.18)*1000000</f>
        <v>99591.187826481939</v>
      </c>
      <c r="D61" s="43">
        <v>36962</v>
      </c>
      <c r="E61" s="43">
        <v>4995</v>
      </c>
    </row>
    <row r="62" spans="1:5" x14ac:dyDescent="0.2">
      <c r="A62" s="17"/>
      <c r="B62" s="21" t="s">
        <v>7</v>
      </c>
      <c r="C62" s="50">
        <f>(27.05/264.18)*1000000</f>
        <v>102392.30827466121</v>
      </c>
      <c r="D62" s="43">
        <v>36954</v>
      </c>
      <c r="E62" s="43">
        <v>4991</v>
      </c>
    </row>
    <row r="63" spans="1:5" x14ac:dyDescent="0.2">
      <c r="A63" s="17"/>
      <c r="B63" s="21" t="s">
        <v>8</v>
      </c>
      <c r="C63" s="50">
        <f>(26.78/264.18)*1000000</f>
        <v>101370.27784086608</v>
      </c>
      <c r="D63" s="43">
        <v>36943</v>
      </c>
      <c r="E63" s="43">
        <v>4999</v>
      </c>
    </row>
    <row r="64" spans="1:5" x14ac:dyDescent="0.2">
      <c r="A64" s="17"/>
      <c r="B64" s="21" t="s">
        <v>9</v>
      </c>
      <c r="C64" s="50">
        <f>(26.517/264.18)*1000000</f>
        <v>100374.74449239155</v>
      </c>
      <c r="D64" s="43">
        <v>36984</v>
      </c>
      <c r="E64" s="43">
        <v>5024</v>
      </c>
    </row>
    <row r="65" spans="1:5" x14ac:dyDescent="0.2">
      <c r="A65" s="17"/>
      <c r="B65" s="21" t="s">
        <v>10</v>
      </c>
      <c r="C65" s="50">
        <f>(27.271/264.18)*1000000</f>
        <v>103228.85911121206</v>
      </c>
      <c r="D65" s="43">
        <v>37034</v>
      </c>
      <c r="E65" s="43">
        <v>5055</v>
      </c>
    </row>
    <row r="66" spans="1:5" x14ac:dyDescent="0.2">
      <c r="A66" s="17"/>
      <c r="B66" s="21" t="s">
        <v>11</v>
      </c>
      <c r="C66" s="50">
        <f>(26.321/264.18)*1000000</f>
        <v>99632.826103414336</v>
      </c>
      <c r="D66" s="43">
        <v>37118</v>
      </c>
      <c r="E66" s="43">
        <v>5429</v>
      </c>
    </row>
    <row r="67" spans="1:5" x14ac:dyDescent="0.2">
      <c r="A67" s="17"/>
      <c r="B67" s="21" t="s">
        <v>12</v>
      </c>
      <c r="C67" s="50">
        <f>(26.862/264.18)*1000000</f>
        <v>101680.67226890755</v>
      </c>
      <c r="D67" s="43">
        <v>37511</v>
      </c>
      <c r="E67" s="43">
        <v>5454</v>
      </c>
    </row>
    <row r="68" spans="1:5" x14ac:dyDescent="0.2">
      <c r="A68" s="17"/>
      <c r="B68" s="21" t="s">
        <v>13</v>
      </c>
      <c r="C68" s="50">
        <f>(25.18/264.18)*1000000</f>
        <v>95313.801196154134</v>
      </c>
      <c r="D68" s="43">
        <v>37695</v>
      </c>
      <c r="E68" s="43">
        <v>5488</v>
      </c>
    </row>
    <row r="69" spans="1:5" x14ac:dyDescent="0.2">
      <c r="A69" s="17"/>
      <c r="B69" s="21" t="s">
        <v>14</v>
      </c>
      <c r="C69" s="50">
        <f>(27.799/264.18)*1000000</f>
        <v>105227.49640396699</v>
      </c>
      <c r="D69" s="43">
        <v>37722</v>
      </c>
      <c r="E69" s="43">
        <v>5545</v>
      </c>
    </row>
    <row r="70" spans="1:5" x14ac:dyDescent="0.2">
      <c r="A70" s="34"/>
      <c r="B70" s="26" t="s">
        <v>15</v>
      </c>
      <c r="C70" s="51">
        <f>(31.384/264.18)*1000000</f>
        <v>118797.78938602468</v>
      </c>
      <c r="D70" s="45">
        <v>37511</v>
      </c>
      <c r="E70" s="45">
        <v>5454</v>
      </c>
    </row>
    <row r="71" spans="1:5" x14ac:dyDescent="0.2">
      <c r="A71" s="47" t="s">
        <v>63</v>
      </c>
      <c r="B71" s="21"/>
      <c r="C71" s="24"/>
      <c r="D71" s="22"/>
      <c r="E71" s="22"/>
    </row>
    <row r="72" spans="1:5" ht="19.5" customHeight="1" x14ac:dyDescent="0.2">
      <c r="A72" s="77" t="s">
        <v>51</v>
      </c>
      <c r="B72" s="77"/>
      <c r="C72" s="77"/>
      <c r="D72" s="77"/>
      <c r="E72" s="77"/>
    </row>
    <row r="73" spans="1:5" ht="11.25" customHeight="1" x14ac:dyDescent="0.2">
      <c r="A73" s="77" t="s">
        <v>35</v>
      </c>
      <c r="B73" s="77"/>
      <c r="C73" s="77"/>
      <c r="D73" s="77"/>
      <c r="E73" s="77"/>
    </row>
    <row r="74" spans="1:5" ht="11.25" customHeight="1" x14ac:dyDescent="0.2">
      <c r="A74" s="77" t="s">
        <v>36</v>
      </c>
      <c r="B74" s="77"/>
      <c r="C74" s="77"/>
      <c r="D74" s="77"/>
      <c r="E74" s="77"/>
    </row>
    <row r="75" spans="1:5" ht="11.25" customHeight="1" x14ac:dyDescent="0.2">
      <c r="A75" s="77" t="s">
        <v>37</v>
      </c>
      <c r="B75" s="77"/>
      <c r="C75" s="77"/>
      <c r="D75" s="77"/>
      <c r="E75" s="77"/>
    </row>
    <row r="76" spans="1:5" ht="11.25" customHeight="1" x14ac:dyDescent="0.2">
      <c r="A76" s="77" t="s">
        <v>24</v>
      </c>
      <c r="B76" s="77"/>
      <c r="C76" s="77"/>
      <c r="D76" s="77"/>
      <c r="E76" s="77"/>
    </row>
    <row r="77" spans="1:5" ht="19.5" customHeight="1" x14ac:dyDescent="0.2">
      <c r="A77" s="77" t="s">
        <v>23</v>
      </c>
      <c r="B77" s="77"/>
      <c r="C77" s="77"/>
      <c r="D77" s="77"/>
      <c r="E77" s="77"/>
    </row>
  </sheetData>
  <mergeCells count="9">
    <mergeCell ref="A2:E2"/>
    <mergeCell ref="A4:A5"/>
    <mergeCell ref="B4:B5"/>
    <mergeCell ref="A77:E77"/>
    <mergeCell ref="A76:E76"/>
    <mergeCell ref="A72:E72"/>
    <mergeCell ref="A73:E73"/>
    <mergeCell ref="A75:E75"/>
    <mergeCell ref="A74:E7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7"/>
  <sheetViews>
    <sheetView workbookViewId="0">
      <selection activeCell="G5" sqref="G5"/>
    </sheetView>
  </sheetViews>
  <sheetFormatPr baseColWidth="10" defaultColWidth="11.42578125" defaultRowHeight="15" x14ac:dyDescent="0.25"/>
  <cols>
    <col min="1" max="1" width="15.85546875" style="1" customWidth="1"/>
    <col min="2" max="2" width="16.42578125" style="1" customWidth="1"/>
    <col min="3" max="5" width="18.7109375" style="1" customWidth="1"/>
    <col min="6" max="16384" width="11.42578125" style="1"/>
  </cols>
  <sheetData>
    <row r="1" spans="1:10" ht="18.75" customHeight="1" x14ac:dyDescent="0.25">
      <c r="A1" s="74"/>
      <c r="B1" s="74"/>
      <c r="C1" s="74"/>
      <c r="D1" s="74"/>
      <c r="E1" s="74"/>
    </row>
    <row r="2" spans="1:10" ht="26.25" customHeight="1" x14ac:dyDescent="0.25">
      <c r="A2" s="78" t="s">
        <v>49</v>
      </c>
      <c r="B2" s="78"/>
      <c r="C2" s="78"/>
      <c r="D2" s="78"/>
      <c r="E2" s="78"/>
      <c r="F2" s="67"/>
      <c r="G2" s="67"/>
      <c r="H2" s="67"/>
      <c r="I2" s="67"/>
      <c r="J2" s="67"/>
    </row>
    <row r="3" spans="1:10" x14ac:dyDescent="0.25">
      <c r="A3" s="17"/>
      <c r="B3" s="18"/>
      <c r="C3" s="19"/>
      <c r="D3" s="17"/>
      <c r="E3" s="17"/>
    </row>
    <row r="4" spans="1:10" ht="38.25" x14ac:dyDescent="0.25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0" x14ac:dyDescent="0.25">
      <c r="A5" s="76"/>
      <c r="B5" s="76"/>
      <c r="C5" s="28" t="s">
        <v>32</v>
      </c>
      <c r="D5" s="28"/>
      <c r="E5" s="28"/>
    </row>
    <row r="6" spans="1:10" ht="18" customHeight="1" x14ac:dyDescent="0.25">
      <c r="A6" s="39" t="s">
        <v>55</v>
      </c>
      <c r="B6" s="29"/>
      <c r="C6" s="52">
        <f>AVERAGE(C7:C18)</f>
        <v>1515150.6548565372</v>
      </c>
      <c r="D6" s="40">
        <f>AVERAGE(D7:D18)</f>
        <v>363308.08333333331</v>
      </c>
      <c r="E6" s="40">
        <f>AVERAGE(E7:E18)</f>
        <v>118756</v>
      </c>
    </row>
    <row r="7" spans="1:10" ht="11.45" customHeight="1" x14ac:dyDescent="0.25">
      <c r="A7" s="31" t="s">
        <v>2</v>
      </c>
      <c r="B7" s="21" t="s">
        <v>4</v>
      </c>
      <c r="C7" s="40">
        <f>C20+C33+C46+C59</f>
        <v>1326417.5940646527</v>
      </c>
      <c r="D7" s="40">
        <f>D20+D33+D46+D59</f>
        <v>361465</v>
      </c>
      <c r="E7" s="40">
        <f>E20+E33+E46+E59</f>
        <v>113142</v>
      </c>
    </row>
    <row r="8" spans="1:10" ht="11.45" customHeight="1" x14ac:dyDescent="0.25">
      <c r="A8" s="17"/>
      <c r="B8" s="21" t="s">
        <v>5</v>
      </c>
      <c r="C8" s="40">
        <f t="shared" ref="C8:C17" si="0">C21+C34+C47+C60</f>
        <v>1439363.3128927248</v>
      </c>
      <c r="D8" s="40">
        <f t="shared" ref="D8:E17" si="1">D21+D34+D47+D60</f>
        <v>361952</v>
      </c>
      <c r="E8" s="40">
        <f t="shared" si="1"/>
        <v>113608</v>
      </c>
    </row>
    <row r="9" spans="1:10" ht="11.45" customHeight="1" x14ac:dyDescent="0.25">
      <c r="A9" s="17"/>
      <c r="B9" s="21" t="s">
        <v>6</v>
      </c>
      <c r="C9" s="40">
        <f t="shared" si="0"/>
        <v>1487023.9987887049</v>
      </c>
      <c r="D9" s="40">
        <f>D22+D35+D48+D61</f>
        <v>362651</v>
      </c>
      <c r="E9" s="40">
        <f t="shared" si="1"/>
        <v>118059</v>
      </c>
    </row>
    <row r="10" spans="1:10" ht="11.45" customHeight="1" x14ac:dyDescent="0.25">
      <c r="A10" s="17"/>
      <c r="B10" s="21" t="s">
        <v>7</v>
      </c>
      <c r="C10" s="40">
        <f t="shared" si="0"/>
        <v>1472821.5610568551</v>
      </c>
      <c r="D10" s="40">
        <f t="shared" si="1"/>
        <v>353067</v>
      </c>
      <c r="E10" s="40">
        <f t="shared" si="1"/>
        <v>118390</v>
      </c>
    </row>
    <row r="11" spans="1:10" ht="11.45" customHeight="1" x14ac:dyDescent="0.25">
      <c r="A11" s="17"/>
      <c r="B11" s="21" t="s">
        <v>8</v>
      </c>
      <c r="C11" s="40">
        <f t="shared" si="0"/>
        <v>1520387.6145052616</v>
      </c>
      <c r="D11" s="40">
        <f t="shared" si="1"/>
        <v>363536</v>
      </c>
      <c r="E11" s="40">
        <f t="shared" si="1"/>
        <v>119333</v>
      </c>
    </row>
    <row r="12" spans="1:10" ht="11.45" customHeight="1" x14ac:dyDescent="0.25">
      <c r="A12" s="17"/>
      <c r="B12" s="21" t="s">
        <v>9</v>
      </c>
      <c r="C12" s="40">
        <f t="shared" si="0"/>
        <v>1548440.4572639866</v>
      </c>
      <c r="D12" s="40">
        <f t="shared" si="1"/>
        <v>364082</v>
      </c>
      <c r="E12" s="40">
        <f t="shared" si="1"/>
        <v>119422</v>
      </c>
    </row>
    <row r="13" spans="1:10" ht="11.45" customHeight="1" x14ac:dyDescent="0.25">
      <c r="A13" s="17"/>
      <c r="B13" s="21" t="s">
        <v>10</v>
      </c>
      <c r="C13" s="40">
        <f t="shared" si="0"/>
        <v>1557729.5783178136</v>
      </c>
      <c r="D13" s="40">
        <f t="shared" si="1"/>
        <v>364350</v>
      </c>
      <c r="E13" s="40">
        <f t="shared" si="1"/>
        <v>120046</v>
      </c>
    </row>
    <row r="14" spans="1:10" ht="11.45" customHeight="1" x14ac:dyDescent="0.25">
      <c r="A14" s="17"/>
      <c r="B14" s="21" t="s">
        <v>11</v>
      </c>
      <c r="C14" s="40">
        <f t="shared" si="0"/>
        <v>1526156.4085093497</v>
      </c>
      <c r="D14" s="40">
        <f t="shared" si="1"/>
        <v>364729</v>
      </c>
      <c r="E14" s="40">
        <f t="shared" si="1"/>
        <v>120249</v>
      </c>
    </row>
    <row r="15" spans="1:10" ht="11.45" customHeight="1" x14ac:dyDescent="0.25">
      <c r="A15" s="17"/>
      <c r="B15" s="21" t="s">
        <v>12</v>
      </c>
      <c r="C15" s="40">
        <f t="shared" si="0"/>
        <v>1565485.6537209477</v>
      </c>
      <c r="D15" s="40">
        <f t="shared" si="1"/>
        <v>365364</v>
      </c>
      <c r="E15" s="40">
        <f t="shared" si="1"/>
        <v>120447</v>
      </c>
    </row>
    <row r="16" spans="1:10" ht="11.45" customHeight="1" x14ac:dyDescent="0.25">
      <c r="A16" s="17"/>
      <c r="B16" s="21" t="s">
        <v>13</v>
      </c>
      <c r="C16" s="40">
        <f t="shared" si="0"/>
        <v>1574532.5157089864</v>
      </c>
      <c r="D16" s="40">
        <f t="shared" si="1"/>
        <v>365776</v>
      </c>
      <c r="E16" s="40">
        <f t="shared" si="1"/>
        <v>120527</v>
      </c>
    </row>
    <row r="17" spans="1:5" ht="11.45" customHeight="1" x14ac:dyDescent="0.25">
      <c r="A17" s="17"/>
      <c r="B17" s="21" t="s">
        <v>14</v>
      </c>
      <c r="C17" s="40">
        <f t="shared" si="0"/>
        <v>1587818.9113483231</v>
      </c>
      <c r="D17" s="40">
        <f t="shared" si="1"/>
        <v>366118</v>
      </c>
      <c r="E17" s="40">
        <f t="shared" si="1"/>
        <v>120777</v>
      </c>
    </row>
    <row r="18" spans="1:5" ht="11.45" customHeight="1" x14ac:dyDescent="0.25">
      <c r="A18" s="17"/>
      <c r="B18" s="21" t="s">
        <v>15</v>
      </c>
      <c r="C18" s="40">
        <f>C31+C44+C57+C70</f>
        <v>1575630.2521008402</v>
      </c>
      <c r="D18" s="40">
        <f>D31+D44+D57+D70</f>
        <v>366607</v>
      </c>
      <c r="E18" s="40">
        <f>E31+E44+E57+E70</f>
        <v>121072</v>
      </c>
    </row>
    <row r="19" spans="1:5" ht="23.25" customHeight="1" x14ac:dyDescent="0.25">
      <c r="A19" s="32" t="s">
        <v>16</v>
      </c>
      <c r="B19" s="33" t="s">
        <v>3</v>
      </c>
      <c r="C19" s="49">
        <f>AVERAGE(C20:C31)</f>
        <v>545114.75761475763</v>
      </c>
      <c r="D19" s="48">
        <f>AVERAGE(D20:D31)</f>
        <v>98041.166666666672</v>
      </c>
      <c r="E19" s="48">
        <f>AVERAGE(E20:E31)</f>
        <v>42589.333333333336</v>
      </c>
    </row>
    <row r="20" spans="1:5" x14ac:dyDescent="0.25">
      <c r="A20" s="17"/>
      <c r="B20" s="21" t="s">
        <v>4</v>
      </c>
      <c r="C20" s="50">
        <f>'2021'!C21</f>
        <v>462502.83897342719</v>
      </c>
      <c r="D20" s="43">
        <v>97864</v>
      </c>
      <c r="E20" s="43">
        <v>42319</v>
      </c>
    </row>
    <row r="21" spans="1:5" x14ac:dyDescent="0.25">
      <c r="A21" s="17"/>
      <c r="B21" s="21" t="s">
        <v>5</v>
      </c>
      <c r="C21" s="50">
        <f>(134.446/264.18)*1000000</f>
        <v>508918.16185933835</v>
      </c>
      <c r="D21" s="43">
        <v>97900</v>
      </c>
      <c r="E21" s="43">
        <v>42354</v>
      </c>
    </row>
    <row r="22" spans="1:5" x14ac:dyDescent="0.25">
      <c r="A22" s="17"/>
      <c r="B22" s="21" t="s">
        <v>6</v>
      </c>
      <c r="C22" s="50">
        <f>(135.769/264.18)*1000000</f>
        <v>513926.11098493455</v>
      </c>
      <c r="D22" s="43">
        <v>97958</v>
      </c>
      <c r="E22" s="43">
        <v>42394</v>
      </c>
    </row>
    <row r="23" spans="1:5" x14ac:dyDescent="0.25">
      <c r="A23" s="17"/>
      <c r="B23" s="21" t="s">
        <v>7</v>
      </c>
      <c r="C23" s="50">
        <f>(132.23/264.18)*1000000</f>
        <v>500529.9417064123</v>
      </c>
      <c r="D23" s="43">
        <v>97964</v>
      </c>
      <c r="E23" s="43">
        <v>42404</v>
      </c>
    </row>
    <row r="24" spans="1:5" x14ac:dyDescent="0.25">
      <c r="A24" s="17"/>
      <c r="B24" s="21" t="s">
        <v>8</v>
      </c>
      <c r="C24" s="50">
        <f>(144.327/264.18)*1000000</f>
        <v>546320.69043833751</v>
      </c>
      <c r="D24" s="43">
        <v>97984</v>
      </c>
      <c r="E24" s="43">
        <v>42477</v>
      </c>
    </row>
    <row r="25" spans="1:5" x14ac:dyDescent="0.25">
      <c r="A25" s="17"/>
      <c r="B25" s="21" t="s">
        <v>9</v>
      </c>
      <c r="C25" s="50">
        <f>(148.183/264.18)*1000000</f>
        <v>560916.79915209324</v>
      </c>
      <c r="D25" s="43">
        <v>98002</v>
      </c>
      <c r="E25" s="43">
        <v>42568</v>
      </c>
    </row>
    <row r="26" spans="1:5" x14ac:dyDescent="0.25">
      <c r="A26" s="17"/>
      <c r="B26" s="21" t="s">
        <v>10</v>
      </c>
      <c r="C26" s="50">
        <f>(152.322/264.18)*1000000</f>
        <v>576584.14717238245</v>
      </c>
      <c r="D26" s="43">
        <v>98060</v>
      </c>
      <c r="E26" s="43">
        <v>42613</v>
      </c>
    </row>
    <row r="27" spans="1:5" x14ac:dyDescent="0.25">
      <c r="A27" s="17"/>
      <c r="B27" s="21" t="s">
        <v>11</v>
      </c>
      <c r="C27" s="50">
        <f>(147.17/264.18)*1000000</f>
        <v>557082.29237640998</v>
      </c>
      <c r="D27" s="43">
        <v>98066</v>
      </c>
      <c r="E27" s="43">
        <v>42640</v>
      </c>
    </row>
    <row r="28" spans="1:5" x14ac:dyDescent="0.25">
      <c r="A28" s="17"/>
      <c r="B28" s="21" t="s">
        <v>12</v>
      </c>
      <c r="C28" s="50">
        <f>(151.15/264.18)*1000000</f>
        <v>572147.7780301309</v>
      </c>
      <c r="D28" s="43">
        <v>98108</v>
      </c>
      <c r="E28" s="43">
        <v>42744</v>
      </c>
    </row>
    <row r="29" spans="1:5" x14ac:dyDescent="0.25">
      <c r="A29" s="17"/>
      <c r="B29" s="21" t="s">
        <v>13</v>
      </c>
      <c r="C29" s="50">
        <f>(157.83/264.18)*1000000</f>
        <v>597433.5680218034</v>
      </c>
      <c r="D29" s="43">
        <v>98175</v>
      </c>
      <c r="E29" s="43">
        <v>42785</v>
      </c>
    </row>
    <row r="30" spans="1:5" x14ac:dyDescent="0.25">
      <c r="A30" s="17"/>
      <c r="B30" s="21" t="s">
        <v>14</v>
      </c>
      <c r="C30" s="50">
        <f>(153.41/264.18)*1000000</f>
        <v>580702.55129078648</v>
      </c>
      <c r="D30" s="43">
        <v>98183</v>
      </c>
      <c r="E30" s="43">
        <v>42811</v>
      </c>
    </row>
    <row r="31" spans="1:5" x14ac:dyDescent="0.25">
      <c r="A31" s="17"/>
      <c r="B31" s="21" t="s">
        <v>15</v>
      </c>
      <c r="C31" s="50">
        <f>(149.08/264.18)*1000000</f>
        <v>564312.21137103497</v>
      </c>
      <c r="D31" s="43">
        <v>98230</v>
      </c>
      <c r="E31" s="43">
        <v>42963</v>
      </c>
    </row>
    <row r="32" spans="1:5" ht="24" customHeight="1" x14ac:dyDescent="0.25">
      <c r="A32" s="32" t="s">
        <v>20</v>
      </c>
      <c r="B32" s="33" t="s">
        <v>3</v>
      </c>
      <c r="C32" s="49">
        <f>AVERAGE(C33:C44)</f>
        <v>393410.42723395658</v>
      </c>
      <c r="D32" s="48">
        <f>AVERAGE(D33:D44)</f>
        <v>112627.66666666667</v>
      </c>
      <c r="E32" s="48">
        <f>AVERAGE(E33:E44)</f>
        <v>48373.833333333336</v>
      </c>
    </row>
    <row r="33" spans="1:5" x14ac:dyDescent="0.25">
      <c r="A33" s="23"/>
      <c r="B33" s="21" t="s">
        <v>4</v>
      </c>
      <c r="C33" s="50">
        <f>(98.868/264.18)*1000000</f>
        <v>374244.83306836244</v>
      </c>
      <c r="D33" s="43">
        <v>111050</v>
      </c>
      <c r="E33" s="43">
        <v>46746</v>
      </c>
    </row>
    <row r="34" spans="1:5" x14ac:dyDescent="0.25">
      <c r="A34" s="23"/>
      <c r="B34" s="21" t="s">
        <v>5</v>
      </c>
      <c r="C34" s="50">
        <f>(91.355/264.18)*1000000</f>
        <v>345805.88992353698</v>
      </c>
      <c r="D34" s="43">
        <v>111458</v>
      </c>
      <c r="E34" s="43">
        <v>47148</v>
      </c>
    </row>
    <row r="35" spans="1:5" x14ac:dyDescent="0.25">
      <c r="A35" s="23"/>
      <c r="B35" s="21" t="s">
        <v>6</v>
      </c>
      <c r="C35" s="50">
        <f>(100.171/264.18)*1000000</f>
        <v>379177.07623589982</v>
      </c>
      <c r="D35" s="43">
        <v>111970</v>
      </c>
      <c r="E35" s="43">
        <v>47702</v>
      </c>
    </row>
    <row r="36" spans="1:5" x14ac:dyDescent="0.25">
      <c r="A36" s="23"/>
      <c r="B36" s="21" t="s">
        <v>7</v>
      </c>
      <c r="C36" s="50">
        <f>(101.91/264.18)*1000000</f>
        <v>385759.70928912103</v>
      </c>
      <c r="D36" s="43">
        <v>112330</v>
      </c>
      <c r="E36" s="43">
        <v>48052</v>
      </c>
    </row>
    <row r="37" spans="1:5" x14ac:dyDescent="0.25">
      <c r="A37" s="23"/>
      <c r="B37" s="21" t="s">
        <v>8</v>
      </c>
      <c r="C37" s="50">
        <f>(105.991/264.18)*1000000</f>
        <v>401207.51003103942</v>
      </c>
      <c r="D37" s="43">
        <v>112758</v>
      </c>
      <c r="E37" s="43">
        <v>48533</v>
      </c>
    </row>
    <row r="38" spans="1:5" x14ac:dyDescent="0.25">
      <c r="A38" s="23"/>
      <c r="B38" s="21" t="s">
        <v>9</v>
      </c>
      <c r="C38" s="50">
        <f>(108.44/264.18)*1000000</f>
        <v>410477.70459535165</v>
      </c>
      <c r="D38" s="43">
        <v>112822</v>
      </c>
      <c r="E38" s="43">
        <v>48587</v>
      </c>
    </row>
    <row r="39" spans="1:5" x14ac:dyDescent="0.25">
      <c r="A39" s="23"/>
      <c r="B39" s="21" t="s">
        <v>10</v>
      </c>
      <c r="C39" s="50">
        <f>(107.699/264.18)*1000000</f>
        <v>407672.79884926946</v>
      </c>
      <c r="D39" s="43">
        <v>112991</v>
      </c>
      <c r="E39" s="43">
        <v>48721</v>
      </c>
    </row>
    <row r="40" spans="1:5" x14ac:dyDescent="0.25">
      <c r="A40" s="23"/>
      <c r="B40" s="21" t="s">
        <v>11</v>
      </c>
      <c r="C40" s="50">
        <f>(104.28/264.18)*1000000</f>
        <v>394730.86531910062</v>
      </c>
      <c r="D40" s="43">
        <v>113059</v>
      </c>
      <c r="E40" s="43">
        <v>48817</v>
      </c>
    </row>
    <row r="41" spans="1:5" x14ac:dyDescent="0.25">
      <c r="A41" s="23"/>
      <c r="B41" s="21" t="s">
        <v>12</v>
      </c>
      <c r="C41" s="50">
        <f>(105.32/264.18)*1000000</f>
        <v>398667.57513816329</v>
      </c>
      <c r="D41" s="43">
        <v>113122</v>
      </c>
      <c r="E41" s="43">
        <v>48912</v>
      </c>
    </row>
    <row r="42" spans="1:5" x14ac:dyDescent="0.25">
      <c r="A42" s="23"/>
      <c r="B42" s="21" t="s">
        <v>13</v>
      </c>
      <c r="C42" s="50">
        <f>(108.25/264.18)*1000000</f>
        <v>409758.49799379212</v>
      </c>
      <c r="D42" s="43">
        <v>113171</v>
      </c>
      <c r="E42" s="43">
        <v>48927</v>
      </c>
    </row>
    <row r="43" spans="1:5" x14ac:dyDescent="0.25">
      <c r="A43" s="23"/>
      <c r="B43" s="21" t="s">
        <v>14</v>
      </c>
      <c r="C43" s="50">
        <f>(108.56/264.18)*1000000</f>
        <v>410931.94034370506</v>
      </c>
      <c r="D43" s="43">
        <v>113315</v>
      </c>
      <c r="E43" s="43">
        <v>49108</v>
      </c>
    </row>
    <row r="44" spans="1:5" x14ac:dyDescent="0.25">
      <c r="A44" s="23"/>
      <c r="B44" s="21" t="s">
        <v>15</v>
      </c>
      <c r="C44" s="50">
        <f>(106.33/264.18)*1000000</f>
        <v>402490.72602013772</v>
      </c>
      <c r="D44" s="43">
        <v>113486</v>
      </c>
      <c r="E44" s="43">
        <v>49233</v>
      </c>
    </row>
    <row r="45" spans="1:5" ht="24.75" customHeight="1" x14ac:dyDescent="0.25">
      <c r="A45" s="32" t="s">
        <v>18</v>
      </c>
      <c r="B45" s="33" t="s">
        <v>3</v>
      </c>
      <c r="C45" s="49">
        <f>AVERAGE(C46:C57)</f>
        <v>455480.16503898852</v>
      </c>
      <c r="D45" s="48">
        <f>AVERAGE(D46:D57)</f>
        <v>115261.16666666667</v>
      </c>
      <c r="E45" s="48">
        <f>AVERAGE(E46:E57)</f>
        <v>21774.416666666668</v>
      </c>
    </row>
    <row r="46" spans="1:5" x14ac:dyDescent="0.25">
      <c r="A46" s="23"/>
      <c r="B46" s="21" t="s">
        <v>4</v>
      </c>
      <c r="C46" s="50">
        <f>(98.051/264.18)*1000000</f>
        <v>371152.24468165642</v>
      </c>
      <c r="D46" s="43">
        <v>114750</v>
      </c>
      <c r="E46" s="43">
        <v>18537</v>
      </c>
    </row>
    <row r="47" spans="1:5" x14ac:dyDescent="0.25">
      <c r="A47" s="23"/>
      <c r="B47" s="21" t="s">
        <v>5</v>
      </c>
      <c r="C47" s="50">
        <f>(121.475/264.18)*1000000</f>
        <v>459819.06276023923</v>
      </c>
      <c r="D47" s="43">
        <v>114789</v>
      </c>
      <c r="E47" s="43">
        <v>18527</v>
      </c>
    </row>
    <row r="48" spans="1:5" x14ac:dyDescent="0.25">
      <c r="A48" s="23"/>
      <c r="B48" s="21" t="s">
        <v>6</v>
      </c>
      <c r="C48" s="50">
        <f>(124.692/264.18)*1000000</f>
        <v>471996.36611401313</v>
      </c>
      <c r="D48" s="43">
        <v>114880</v>
      </c>
      <c r="E48" s="43">
        <v>22387</v>
      </c>
    </row>
    <row r="49" spans="1:5" x14ac:dyDescent="0.25">
      <c r="A49" s="23"/>
      <c r="B49" s="21" t="s">
        <v>7</v>
      </c>
      <c r="C49" s="50">
        <f>(124.65/264.18)*1000000</f>
        <v>471837.38360208948</v>
      </c>
      <c r="D49" s="43">
        <v>114901</v>
      </c>
      <c r="E49" s="43">
        <v>22362</v>
      </c>
    </row>
    <row r="50" spans="1:5" x14ac:dyDescent="0.25">
      <c r="A50" s="23"/>
      <c r="B50" s="21" t="s">
        <v>8</v>
      </c>
      <c r="C50" s="50">
        <f>(119.496/264.18)*1000000</f>
        <v>452327.95821031113</v>
      </c>
      <c r="D50" s="43">
        <v>114918</v>
      </c>
      <c r="E50" s="43">
        <v>22363</v>
      </c>
    </row>
    <row r="51" spans="1:5" x14ac:dyDescent="0.25">
      <c r="A51" s="23"/>
      <c r="B51" s="21" t="s">
        <v>9</v>
      </c>
      <c r="C51" s="50">
        <f>(120.963/264.18)*1000000</f>
        <v>457880.99023393134</v>
      </c>
      <c r="D51" s="43">
        <v>114915</v>
      </c>
      <c r="E51" s="43">
        <v>22340</v>
      </c>
    </row>
    <row r="52" spans="1:5" x14ac:dyDescent="0.25">
      <c r="A52" s="23"/>
      <c r="B52" s="21" t="s">
        <v>10</v>
      </c>
      <c r="C52" s="50">
        <f>(124.118/264.18)*1000000</f>
        <v>469823.60511772276</v>
      </c>
      <c r="D52" s="43">
        <v>114958</v>
      </c>
      <c r="E52" s="43">
        <v>22322</v>
      </c>
    </row>
    <row r="53" spans="1:5" x14ac:dyDescent="0.25">
      <c r="A53" s="23"/>
      <c r="B53" s="21" t="s">
        <v>11</v>
      </c>
      <c r="C53" s="50">
        <f>(121.68/264.18)*1000000</f>
        <v>460595.04883034294</v>
      </c>
      <c r="D53" s="43">
        <v>115213</v>
      </c>
      <c r="E53" s="43">
        <v>22512</v>
      </c>
    </row>
    <row r="54" spans="1:5" x14ac:dyDescent="0.25">
      <c r="A54" s="23"/>
      <c r="B54" s="21" t="s">
        <v>12</v>
      </c>
      <c r="C54" s="50">
        <f>(121.95/264.18)*1000000</f>
        <v>461617.07926413807</v>
      </c>
      <c r="D54" s="43">
        <v>115663</v>
      </c>
      <c r="E54" s="43">
        <v>22495</v>
      </c>
    </row>
    <row r="55" spans="1:5" x14ac:dyDescent="0.25">
      <c r="A55" s="23"/>
      <c r="B55" s="21" t="s">
        <v>13</v>
      </c>
      <c r="C55" s="50">
        <f>(118.12/264.18)*1000000</f>
        <v>447119.38829585892</v>
      </c>
      <c r="D55" s="43">
        <v>115876</v>
      </c>
      <c r="E55" s="43">
        <v>22492</v>
      </c>
    </row>
    <row r="56" spans="1:5" x14ac:dyDescent="0.25">
      <c r="A56" s="23"/>
      <c r="B56" s="21" t="s">
        <v>14</v>
      </c>
      <c r="C56" s="50">
        <f>(123.33/264.18)*1000000</f>
        <v>466840.7903702021</v>
      </c>
      <c r="D56" s="43">
        <v>116011</v>
      </c>
      <c r="E56" s="43">
        <v>22478</v>
      </c>
    </row>
    <row r="57" spans="1:5" x14ac:dyDescent="0.25">
      <c r="A57" s="23"/>
      <c r="B57" s="21" t="s">
        <v>15</v>
      </c>
      <c r="C57" s="50">
        <f>(125.42/264.18)*1000000</f>
        <v>474752.06298735709</v>
      </c>
      <c r="D57" s="43">
        <v>116260</v>
      </c>
      <c r="E57" s="43">
        <v>22478</v>
      </c>
    </row>
    <row r="58" spans="1:5" ht="22.5" customHeight="1" x14ac:dyDescent="0.25">
      <c r="A58" s="32" t="s">
        <v>19</v>
      </c>
      <c r="B58" s="33" t="s">
        <v>3</v>
      </c>
      <c r="C58" s="49">
        <f>AVERAGE(C59:C70)</f>
        <v>121145.30496883439</v>
      </c>
      <c r="D58" s="48">
        <f>AVERAGE(D59:D70)</f>
        <v>37378.083333333336</v>
      </c>
      <c r="E58" s="48">
        <f>AVERAGE(E59:E70)</f>
        <v>6018.416666666667</v>
      </c>
    </row>
    <row r="59" spans="1:5" x14ac:dyDescent="0.25">
      <c r="A59" s="23"/>
      <c r="B59" s="21" t="s">
        <v>4</v>
      </c>
      <c r="C59" s="50">
        <f>(31.31/264.18)*1000000</f>
        <v>118517.67734120674</v>
      </c>
      <c r="D59" s="43">
        <v>37801</v>
      </c>
      <c r="E59" s="43">
        <v>5540</v>
      </c>
    </row>
    <row r="60" spans="1:5" x14ac:dyDescent="0.25">
      <c r="A60" s="23"/>
      <c r="B60" s="21" t="s">
        <v>5</v>
      </c>
      <c r="C60" s="50">
        <f>(32.975/264.18)*1000000</f>
        <v>124820.19834961012</v>
      </c>
      <c r="D60" s="43">
        <v>37805</v>
      </c>
      <c r="E60" s="43">
        <v>5579</v>
      </c>
    </row>
    <row r="61" spans="1:5" x14ac:dyDescent="0.25">
      <c r="A61" s="23"/>
      <c r="B61" s="21" t="s">
        <v>6</v>
      </c>
      <c r="C61" s="50">
        <f>(32.21/264.18)*1000000</f>
        <v>121924.44545385722</v>
      </c>
      <c r="D61" s="43">
        <v>37843</v>
      </c>
      <c r="E61" s="43">
        <v>5576</v>
      </c>
    </row>
    <row r="62" spans="1:5" x14ac:dyDescent="0.25">
      <c r="A62" s="23"/>
      <c r="B62" s="21" t="s">
        <v>7</v>
      </c>
      <c r="C62" s="50">
        <f>(30.3/264.18)*1000000</f>
        <v>114694.52645923234</v>
      </c>
      <c r="D62" s="43">
        <v>27872</v>
      </c>
      <c r="E62" s="43">
        <v>5572</v>
      </c>
    </row>
    <row r="63" spans="1:5" x14ac:dyDescent="0.25">
      <c r="A63" s="23"/>
      <c r="B63" s="21" t="s">
        <v>8</v>
      </c>
      <c r="C63" s="50">
        <f>(31.842/264.18)*1000000</f>
        <v>120531.45582557346</v>
      </c>
      <c r="D63" s="43">
        <v>37876</v>
      </c>
      <c r="E63" s="43">
        <v>5960</v>
      </c>
    </row>
    <row r="64" spans="1:5" x14ac:dyDescent="0.25">
      <c r="A64" s="23"/>
      <c r="B64" s="21" t="s">
        <v>9</v>
      </c>
      <c r="C64" s="50">
        <f>(31.481/264.18)*1000000</f>
        <v>119164.96328261035</v>
      </c>
      <c r="D64" s="43">
        <v>38343</v>
      </c>
      <c r="E64" s="43">
        <v>5927</v>
      </c>
    </row>
    <row r="65" spans="1:5" x14ac:dyDescent="0.25">
      <c r="A65" s="23"/>
      <c r="B65" s="21" t="s">
        <v>10</v>
      </c>
      <c r="C65" s="50">
        <f>(27.382/264.18)*1000000</f>
        <v>103649.02717843895</v>
      </c>
      <c r="D65" s="43">
        <v>38341</v>
      </c>
      <c r="E65" s="43">
        <v>6390</v>
      </c>
    </row>
    <row r="66" spans="1:5" x14ac:dyDescent="0.25">
      <c r="A66" s="23"/>
      <c r="B66" s="21" t="s">
        <v>11</v>
      </c>
      <c r="C66" s="50">
        <f>(30.05/264.18)*1000000</f>
        <v>113748.2019834961</v>
      </c>
      <c r="D66" s="43">
        <v>38391</v>
      </c>
      <c r="E66" s="43">
        <v>6280</v>
      </c>
    </row>
    <row r="67" spans="1:5" x14ac:dyDescent="0.25">
      <c r="A67" s="23"/>
      <c r="B67" s="21" t="s">
        <v>12</v>
      </c>
      <c r="C67" s="50">
        <f>(35.15/264.18)*1000000</f>
        <v>133053.2212885154</v>
      </c>
      <c r="D67" s="43">
        <v>38471</v>
      </c>
      <c r="E67" s="43">
        <v>6296</v>
      </c>
    </row>
    <row r="68" spans="1:5" x14ac:dyDescent="0.25">
      <c r="A68" s="23"/>
      <c r="B68" s="21" t="s">
        <v>13</v>
      </c>
      <c r="C68" s="50">
        <f>(31.76/264.18)*1000000</f>
        <v>120221.06139753199</v>
      </c>
      <c r="D68" s="43">
        <v>38554</v>
      </c>
      <c r="E68" s="43">
        <v>6323</v>
      </c>
    </row>
    <row r="69" spans="1:5" x14ac:dyDescent="0.25">
      <c r="A69" s="23"/>
      <c r="B69" s="21" t="s">
        <v>14</v>
      </c>
      <c r="C69" s="50">
        <f>(34.17/264.18)*1000000</f>
        <v>129343.62934362933</v>
      </c>
      <c r="D69" s="43">
        <v>38609</v>
      </c>
      <c r="E69" s="43">
        <v>6380</v>
      </c>
    </row>
    <row r="70" spans="1:5" x14ac:dyDescent="0.25">
      <c r="A70" s="25"/>
      <c r="B70" s="26" t="s">
        <v>15</v>
      </c>
      <c r="C70" s="51">
        <f>(35.42/264.18)*1000000</f>
        <v>134075.25172231055</v>
      </c>
      <c r="D70" s="45">
        <v>38631</v>
      </c>
      <c r="E70" s="45">
        <v>6398</v>
      </c>
    </row>
    <row r="71" spans="1:5" x14ac:dyDescent="0.25">
      <c r="A71" s="47" t="s">
        <v>63</v>
      </c>
      <c r="B71" s="21"/>
      <c r="C71" s="24"/>
      <c r="D71" s="22"/>
      <c r="E71" s="22"/>
    </row>
    <row r="72" spans="1:5" ht="21.75" customHeight="1" x14ac:dyDescent="0.25">
      <c r="A72" s="77" t="s">
        <v>51</v>
      </c>
      <c r="B72" s="77"/>
      <c r="C72" s="77"/>
      <c r="D72" s="77"/>
      <c r="E72" s="77"/>
    </row>
    <row r="73" spans="1:5" ht="11.25" customHeight="1" x14ac:dyDescent="0.25">
      <c r="A73" s="77" t="s">
        <v>33</v>
      </c>
      <c r="B73" s="77"/>
      <c r="C73" s="77"/>
      <c r="D73" s="77"/>
      <c r="E73" s="77"/>
    </row>
    <row r="74" spans="1:5" ht="11.25" customHeight="1" x14ac:dyDescent="0.25">
      <c r="A74" s="77" t="s">
        <v>38</v>
      </c>
      <c r="B74" s="77"/>
      <c r="C74" s="77"/>
      <c r="D74" s="77"/>
      <c r="E74" s="77"/>
    </row>
    <row r="75" spans="1:5" ht="11.25" customHeight="1" x14ac:dyDescent="0.25">
      <c r="A75" s="77" t="s">
        <v>34</v>
      </c>
      <c r="B75" s="77"/>
      <c r="C75" s="77"/>
      <c r="D75" s="77"/>
      <c r="E75" s="77"/>
    </row>
    <row r="76" spans="1:5" ht="11.25" customHeight="1" x14ac:dyDescent="0.25">
      <c r="A76" s="77" t="s">
        <v>24</v>
      </c>
      <c r="B76" s="77"/>
      <c r="C76" s="77"/>
      <c r="D76" s="77"/>
      <c r="E76" s="77"/>
    </row>
    <row r="77" spans="1:5" ht="21.75" customHeight="1" x14ac:dyDescent="0.25">
      <c r="A77" s="77" t="s">
        <v>23</v>
      </c>
      <c r="B77" s="77"/>
      <c r="C77" s="77"/>
      <c r="D77" s="77"/>
      <c r="E77" s="77"/>
    </row>
  </sheetData>
  <mergeCells count="10">
    <mergeCell ref="A1:E1"/>
    <mergeCell ref="A4:A5"/>
    <mergeCell ref="B4:B5"/>
    <mergeCell ref="A77:E77"/>
    <mergeCell ref="A72:E72"/>
    <mergeCell ref="A73:E73"/>
    <mergeCell ref="A75:E75"/>
    <mergeCell ref="A76:E76"/>
    <mergeCell ref="A74:E74"/>
    <mergeCell ref="A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workbookViewId="0">
      <selection activeCell="F4" sqref="F4"/>
    </sheetView>
  </sheetViews>
  <sheetFormatPr baseColWidth="10" defaultColWidth="11.42578125" defaultRowHeight="12" x14ac:dyDescent="0.2"/>
  <cols>
    <col min="1" max="1" width="15.5703125" style="9" customWidth="1"/>
    <col min="2" max="2" width="15.42578125" style="9" customWidth="1"/>
    <col min="3" max="5" width="19" style="9" customWidth="1"/>
    <col min="6" max="16384" width="11.42578125" style="9"/>
  </cols>
  <sheetData>
    <row r="1" spans="1:11" ht="16.5" customHeight="1" x14ac:dyDescent="0.2">
      <c r="A1" s="74"/>
      <c r="B1" s="74"/>
      <c r="C1" s="74"/>
      <c r="D1" s="74"/>
      <c r="E1" s="74"/>
    </row>
    <row r="2" spans="1:11" ht="27" customHeight="1" x14ac:dyDescent="0.2">
      <c r="A2" s="79" t="s">
        <v>48</v>
      </c>
      <c r="B2" s="79"/>
      <c r="C2" s="79"/>
      <c r="D2" s="79"/>
      <c r="E2" s="79"/>
      <c r="F2" s="67"/>
      <c r="G2" s="67"/>
      <c r="H2" s="67"/>
      <c r="I2" s="67"/>
      <c r="J2" s="67"/>
      <c r="K2" s="67"/>
    </row>
    <row r="3" spans="1:11" x14ac:dyDescent="0.2">
      <c r="A3" s="17"/>
      <c r="B3" s="18"/>
      <c r="C3" s="19"/>
      <c r="D3" s="17"/>
      <c r="E3" s="17"/>
    </row>
    <row r="4" spans="1:11" ht="38.25" x14ac:dyDescent="0.2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1" ht="14.25" x14ac:dyDescent="0.2">
      <c r="A5" s="76"/>
      <c r="B5" s="76"/>
      <c r="C5" s="28" t="s">
        <v>32</v>
      </c>
      <c r="D5" s="28"/>
      <c r="E5" s="28"/>
    </row>
    <row r="6" spans="1:11" ht="18" customHeight="1" x14ac:dyDescent="0.2">
      <c r="A6" s="39" t="s">
        <v>55</v>
      </c>
      <c r="B6" s="29"/>
      <c r="C6" s="40">
        <f>AVERAGE(C7:C18)</f>
        <v>1558397.6833976833</v>
      </c>
      <c r="D6" s="40">
        <f>AVERAGE(D7:D18)</f>
        <v>370436.33333333331</v>
      </c>
      <c r="E6" s="40">
        <f>AVERAGE(E7:E18)</f>
        <v>123964.66666666667</v>
      </c>
    </row>
    <row r="7" spans="1:11" ht="12.6" customHeight="1" x14ac:dyDescent="0.2">
      <c r="A7" s="31" t="s">
        <v>2</v>
      </c>
      <c r="B7" s="21" t="s">
        <v>4</v>
      </c>
      <c r="C7" s="40">
        <f>C20+C33+C46+C59</f>
        <v>1591036.4145658263</v>
      </c>
      <c r="D7" s="40">
        <f>D20+D33+D46+D59</f>
        <v>365818</v>
      </c>
      <c r="E7" s="40">
        <f>E20+E33+E46+E59</f>
        <v>121196</v>
      </c>
    </row>
    <row r="8" spans="1:11" ht="12.6" customHeight="1" x14ac:dyDescent="0.2">
      <c r="A8" s="17"/>
      <c r="B8" s="21" t="s">
        <v>5</v>
      </c>
      <c r="C8" s="40">
        <f t="shared" ref="C8:C17" si="0">C21+C34+C47+C60</f>
        <v>1565296.3888258005</v>
      </c>
      <c r="D8" s="40">
        <f t="shared" ref="D8:E17" si="1">D21+D34+D47+D60</f>
        <v>367302</v>
      </c>
      <c r="E8" s="40">
        <f t="shared" si="1"/>
        <v>121581</v>
      </c>
    </row>
    <row r="9" spans="1:11" ht="12.6" customHeight="1" x14ac:dyDescent="0.2">
      <c r="A9" s="17"/>
      <c r="B9" s="21" t="s">
        <v>6</v>
      </c>
      <c r="C9" s="40">
        <f t="shared" si="0"/>
        <v>1578885.6082973729</v>
      </c>
      <c r="D9" s="40">
        <f t="shared" si="1"/>
        <v>367766</v>
      </c>
      <c r="E9" s="40">
        <f t="shared" si="1"/>
        <v>121736</v>
      </c>
    </row>
    <row r="10" spans="1:11" ht="12.6" customHeight="1" x14ac:dyDescent="0.2">
      <c r="A10" s="17"/>
      <c r="B10" s="21" t="s">
        <v>7</v>
      </c>
      <c r="C10" s="40">
        <f t="shared" si="0"/>
        <v>1552994.1706412295</v>
      </c>
      <c r="D10" s="40">
        <f t="shared" si="1"/>
        <v>368421</v>
      </c>
      <c r="E10" s="40">
        <f t="shared" si="1"/>
        <v>122092</v>
      </c>
    </row>
    <row r="11" spans="1:11" ht="12.6" customHeight="1" x14ac:dyDescent="0.2">
      <c r="A11" s="17"/>
      <c r="B11" s="21" t="s">
        <v>8</v>
      </c>
      <c r="C11" s="40">
        <f t="shared" si="0"/>
        <v>1464304.6407752289</v>
      </c>
      <c r="D11" s="40">
        <f t="shared" si="1"/>
        <v>369939</v>
      </c>
      <c r="E11" s="40">
        <f t="shared" si="1"/>
        <v>123157</v>
      </c>
    </row>
    <row r="12" spans="1:11" ht="12.6" customHeight="1" x14ac:dyDescent="0.2">
      <c r="A12" s="17"/>
      <c r="B12" s="21" t="s">
        <v>9</v>
      </c>
      <c r="C12" s="40">
        <f t="shared" si="0"/>
        <v>1576614.4295556056</v>
      </c>
      <c r="D12" s="40">
        <f t="shared" si="1"/>
        <v>370536</v>
      </c>
      <c r="E12" s="40">
        <f t="shared" si="1"/>
        <v>123908</v>
      </c>
    </row>
    <row r="13" spans="1:11" ht="12.6" customHeight="1" x14ac:dyDescent="0.2">
      <c r="A13" s="17"/>
      <c r="B13" s="21" t="s">
        <v>10</v>
      </c>
      <c r="C13" s="40">
        <f t="shared" si="0"/>
        <v>1571239.3065334242</v>
      </c>
      <c r="D13" s="40">
        <f t="shared" si="1"/>
        <v>371335</v>
      </c>
      <c r="E13" s="40">
        <f t="shared" si="1"/>
        <v>124521</v>
      </c>
    </row>
    <row r="14" spans="1:11" ht="12.6" customHeight="1" x14ac:dyDescent="0.2">
      <c r="A14" s="17"/>
      <c r="B14" s="21" t="s">
        <v>11</v>
      </c>
      <c r="C14" s="40">
        <f t="shared" si="0"/>
        <v>1576311.6057233703</v>
      </c>
      <c r="D14" s="40">
        <f t="shared" si="1"/>
        <v>371533</v>
      </c>
      <c r="E14" s="40">
        <f t="shared" si="1"/>
        <v>124546</v>
      </c>
    </row>
    <row r="15" spans="1:11" ht="12.6" customHeight="1" x14ac:dyDescent="0.2">
      <c r="A15" s="17"/>
      <c r="B15" s="21" t="s">
        <v>12</v>
      </c>
      <c r="C15" s="40">
        <f t="shared" si="0"/>
        <v>1562911.6511469453</v>
      </c>
      <c r="D15" s="40">
        <f t="shared" si="1"/>
        <v>372343</v>
      </c>
      <c r="E15" s="40">
        <f t="shared" si="1"/>
        <v>125396</v>
      </c>
    </row>
    <row r="16" spans="1:11" ht="12.6" customHeight="1" x14ac:dyDescent="0.2">
      <c r="A16" s="17"/>
      <c r="B16" s="21" t="s">
        <v>13</v>
      </c>
      <c r="C16" s="40">
        <f t="shared" si="0"/>
        <v>1560148.3836777955</v>
      </c>
      <c r="D16" s="40">
        <f t="shared" si="1"/>
        <v>372812</v>
      </c>
      <c r="E16" s="40">
        <f t="shared" si="1"/>
        <v>125952</v>
      </c>
    </row>
    <row r="17" spans="1:5" ht="12.6" customHeight="1" x14ac:dyDescent="0.2">
      <c r="A17" s="17"/>
      <c r="B17" s="21" t="s">
        <v>14</v>
      </c>
      <c r="C17" s="40">
        <f t="shared" si="0"/>
        <v>1547619.0476190476</v>
      </c>
      <c r="D17" s="40">
        <f t="shared" si="1"/>
        <v>373676</v>
      </c>
      <c r="E17" s="40">
        <f t="shared" si="1"/>
        <v>126464</v>
      </c>
    </row>
    <row r="18" spans="1:5" ht="12.6" customHeight="1" x14ac:dyDescent="0.2">
      <c r="A18" s="17"/>
      <c r="B18" s="21" t="s">
        <v>15</v>
      </c>
      <c r="C18" s="40">
        <f>C31+C44+C57+C70</f>
        <v>1553410.5534105534</v>
      </c>
      <c r="D18" s="40">
        <f>D31+D44+D57+D70</f>
        <v>373755</v>
      </c>
      <c r="E18" s="40">
        <f t="shared" ref="E18" si="2">E31+E44+E57+E70</f>
        <v>127027</v>
      </c>
    </row>
    <row r="19" spans="1:5" ht="24" customHeight="1" x14ac:dyDescent="0.2">
      <c r="A19" s="33" t="s">
        <v>16</v>
      </c>
      <c r="B19" s="33" t="s">
        <v>22</v>
      </c>
      <c r="C19" s="48">
        <f>AVERAGE(C20:C31)</f>
        <v>544584.50046685338</v>
      </c>
      <c r="D19" s="48">
        <f>AVERAGE(D20:D31)</f>
        <v>98661.666666666672</v>
      </c>
      <c r="E19" s="48">
        <f>AVERAGE(E20:E31)</f>
        <v>44099.083333333336</v>
      </c>
    </row>
    <row r="20" spans="1:5" x14ac:dyDescent="0.2">
      <c r="A20" s="17"/>
      <c r="B20" s="21" t="s">
        <v>4</v>
      </c>
      <c r="C20" s="42">
        <f>152.62/264.18*1000000</f>
        <v>577712.1659474601</v>
      </c>
      <c r="D20" s="43">
        <v>97984</v>
      </c>
      <c r="E20" s="43">
        <v>42950</v>
      </c>
    </row>
    <row r="21" spans="1:5" x14ac:dyDescent="0.2">
      <c r="A21" s="17"/>
      <c r="B21" s="21" t="s">
        <v>5</v>
      </c>
      <c r="C21" s="42">
        <f>146.95/264.18*1000000</f>
        <v>556249.5268377621</v>
      </c>
      <c r="D21" s="43">
        <v>98264</v>
      </c>
      <c r="E21" s="43">
        <v>43928</v>
      </c>
    </row>
    <row r="22" spans="1:5" x14ac:dyDescent="0.2">
      <c r="A22" s="17"/>
      <c r="B22" s="21" t="s">
        <v>6</v>
      </c>
      <c r="C22" s="42">
        <f>143.64/264.18*1000000</f>
        <v>543720.19077901426</v>
      </c>
      <c r="D22" s="43">
        <v>98341</v>
      </c>
      <c r="E22" s="43">
        <v>43089</v>
      </c>
    </row>
    <row r="23" spans="1:5" x14ac:dyDescent="0.2">
      <c r="A23" s="17"/>
      <c r="B23" s="21" t="s">
        <v>7</v>
      </c>
      <c r="C23" s="42">
        <f>143.38/264.18*1000000</f>
        <v>542736.0133242486</v>
      </c>
      <c r="D23" s="43">
        <v>98566</v>
      </c>
      <c r="E23" s="43">
        <v>43285</v>
      </c>
    </row>
    <row r="24" spans="1:5" x14ac:dyDescent="0.2">
      <c r="A24" s="17"/>
      <c r="B24" s="21" t="s">
        <v>8</v>
      </c>
      <c r="C24" s="42">
        <f>136.01/264.18*1000000</f>
        <v>514838.36777954415</v>
      </c>
      <c r="D24" s="43">
        <v>98605</v>
      </c>
      <c r="E24" s="43">
        <v>43496</v>
      </c>
    </row>
    <row r="25" spans="1:5" x14ac:dyDescent="0.2">
      <c r="A25" s="17"/>
      <c r="B25" s="21" t="s">
        <v>9</v>
      </c>
      <c r="C25" s="42">
        <f>140.38/264.18*1000000</f>
        <v>531380.1196154136</v>
      </c>
      <c r="D25" s="43">
        <v>98719</v>
      </c>
      <c r="E25" s="43">
        <v>43945</v>
      </c>
    </row>
    <row r="26" spans="1:5" x14ac:dyDescent="0.2">
      <c r="A26" s="17"/>
      <c r="B26" s="21" t="s">
        <v>10</v>
      </c>
      <c r="C26" s="42">
        <f>141.65/264.18*1000000</f>
        <v>536187.44795215386</v>
      </c>
      <c r="D26" s="43">
        <v>98768</v>
      </c>
      <c r="E26" s="43">
        <v>44080</v>
      </c>
    </row>
    <row r="27" spans="1:5" x14ac:dyDescent="0.2">
      <c r="A27" s="17"/>
      <c r="B27" s="21" t="s">
        <v>11</v>
      </c>
      <c r="C27" s="42">
        <f>143.49/264.18*1000000</f>
        <v>543152.39609357261</v>
      </c>
      <c r="D27" s="43">
        <v>98768</v>
      </c>
      <c r="E27" s="43">
        <v>44080</v>
      </c>
    </row>
    <row r="28" spans="1:5" x14ac:dyDescent="0.2">
      <c r="A28" s="17"/>
      <c r="B28" s="21" t="s">
        <v>12</v>
      </c>
      <c r="C28" s="42">
        <f>141.74/264.18*1000000</f>
        <v>536528.12476341892</v>
      </c>
      <c r="D28" s="43">
        <v>98871</v>
      </c>
      <c r="E28" s="43">
        <v>44515</v>
      </c>
    </row>
    <row r="29" spans="1:5" x14ac:dyDescent="0.2">
      <c r="A29" s="17"/>
      <c r="B29" s="21" t="s">
        <v>13</v>
      </c>
      <c r="C29" s="42">
        <f>143.94/264.18*1000000</f>
        <v>544855.78014989779</v>
      </c>
      <c r="D29" s="43">
        <v>98949</v>
      </c>
      <c r="E29" s="43">
        <v>44917</v>
      </c>
    </row>
    <row r="30" spans="1:5" x14ac:dyDescent="0.2">
      <c r="A30" s="17"/>
      <c r="B30" s="21" t="s">
        <v>14</v>
      </c>
      <c r="C30" s="42">
        <f>147.62/264.18*1000000</f>
        <v>558785.67643273529</v>
      </c>
      <c r="D30" s="43">
        <v>98995</v>
      </c>
      <c r="E30" s="43">
        <v>45182</v>
      </c>
    </row>
    <row r="31" spans="1:5" x14ac:dyDescent="0.2">
      <c r="A31" s="17"/>
      <c r="B31" s="21" t="s">
        <v>15</v>
      </c>
      <c r="C31" s="42">
        <f>145/264.18*1000000</f>
        <v>548868.19592701946</v>
      </c>
      <c r="D31" s="43">
        <v>99110</v>
      </c>
      <c r="E31" s="43">
        <v>45722</v>
      </c>
    </row>
    <row r="32" spans="1:5" ht="24.75" customHeight="1" x14ac:dyDescent="0.2">
      <c r="A32" s="33" t="s">
        <v>20</v>
      </c>
      <c r="B32" s="33" t="s">
        <v>22</v>
      </c>
      <c r="C32" s="48">
        <f>AVERAGE(C33:C44)</f>
        <v>400374.11360940774</v>
      </c>
      <c r="D32" s="48">
        <f>AVERAGE(D33:D44)</f>
        <v>115174.5</v>
      </c>
      <c r="E32" s="48">
        <f>AVERAGE(E33:E44)</f>
        <v>50628.416666666664</v>
      </c>
    </row>
    <row r="33" spans="1:5" x14ac:dyDescent="0.2">
      <c r="A33" s="17"/>
      <c r="B33" s="21" t="s">
        <v>4</v>
      </c>
      <c r="C33" s="42">
        <f>110.17/264.18*1000000</f>
        <v>417026.26996744645</v>
      </c>
      <c r="D33" s="43">
        <v>112758</v>
      </c>
      <c r="E33" s="43">
        <v>49346</v>
      </c>
    </row>
    <row r="34" spans="1:5" x14ac:dyDescent="0.2">
      <c r="A34" s="17"/>
      <c r="B34" s="21" t="s">
        <v>5</v>
      </c>
      <c r="C34" s="42">
        <f>110.64/264.18*1000000</f>
        <v>418805.35998183052</v>
      </c>
      <c r="D34" s="43">
        <v>113647</v>
      </c>
      <c r="E34" s="43">
        <v>48645</v>
      </c>
    </row>
    <row r="35" spans="1:5" x14ac:dyDescent="0.2">
      <c r="A35" s="17"/>
      <c r="B35" s="21" t="s">
        <v>6</v>
      </c>
      <c r="C35" s="42">
        <f>110.36/264.18*1000000</f>
        <v>417745.47656900599</v>
      </c>
      <c r="D35" s="43">
        <v>113790</v>
      </c>
      <c r="E35" s="43">
        <v>49598</v>
      </c>
    </row>
    <row r="36" spans="1:5" x14ac:dyDescent="0.2">
      <c r="A36" s="17"/>
      <c r="B36" s="21" t="s">
        <v>7</v>
      </c>
      <c r="C36" s="42">
        <f>99.34/264.18*1000000</f>
        <v>376031.49367855251</v>
      </c>
      <c r="D36" s="43">
        <v>113931</v>
      </c>
      <c r="E36" s="43">
        <v>49744</v>
      </c>
    </row>
    <row r="37" spans="1:5" x14ac:dyDescent="0.2">
      <c r="A37" s="17"/>
      <c r="B37" s="21" t="s">
        <v>8</v>
      </c>
      <c r="C37" s="42">
        <f>86.4/264.18*1000000</f>
        <v>327049.73881444469</v>
      </c>
      <c r="D37" s="43">
        <v>115164</v>
      </c>
      <c r="E37" s="43">
        <v>50600</v>
      </c>
    </row>
    <row r="38" spans="1:5" x14ac:dyDescent="0.2">
      <c r="A38" s="17"/>
      <c r="B38" s="21" t="s">
        <v>9</v>
      </c>
      <c r="C38" s="42">
        <f>104.58/264.18*1000000</f>
        <v>395866.45468998409</v>
      </c>
      <c r="D38" s="43">
        <v>115475</v>
      </c>
      <c r="E38" s="43">
        <v>50772</v>
      </c>
    </row>
    <row r="39" spans="1:5" x14ac:dyDescent="0.2">
      <c r="A39" s="17"/>
      <c r="B39" s="21" t="s">
        <v>10</v>
      </c>
      <c r="C39" s="42">
        <f>108.71/264.18*1000000</f>
        <v>411499.73502914677</v>
      </c>
      <c r="D39" s="43">
        <v>115850</v>
      </c>
      <c r="E39" s="43">
        <v>51138</v>
      </c>
    </row>
    <row r="40" spans="1:5" x14ac:dyDescent="0.2">
      <c r="A40" s="17"/>
      <c r="B40" s="21" t="s">
        <v>11</v>
      </c>
      <c r="C40" s="42">
        <f>106.05/264.18*1000000</f>
        <v>401430.84260731313</v>
      </c>
      <c r="D40" s="43">
        <v>115850</v>
      </c>
      <c r="E40" s="43">
        <v>51138</v>
      </c>
    </row>
    <row r="41" spans="1:5" x14ac:dyDescent="0.2">
      <c r="A41" s="17"/>
      <c r="B41" s="21" t="s">
        <v>12</v>
      </c>
      <c r="C41" s="42">
        <f>107.31/264.18*1000000</f>
        <v>406200.31796502386</v>
      </c>
      <c r="D41" s="43">
        <v>116306</v>
      </c>
      <c r="E41" s="43">
        <v>51540</v>
      </c>
    </row>
    <row r="42" spans="1:5" x14ac:dyDescent="0.2">
      <c r="A42" s="17"/>
      <c r="B42" s="21" t="s">
        <v>13</v>
      </c>
      <c r="C42" s="42">
        <f>104.35/264.18*1000000</f>
        <v>394995.83617230674</v>
      </c>
      <c r="D42" s="43">
        <v>116372</v>
      </c>
      <c r="E42" s="43">
        <v>51617</v>
      </c>
    </row>
    <row r="43" spans="1:5" x14ac:dyDescent="0.2">
      <c r="A43" s="17"/>
      <c r="B43" s="21" t="s">
        <v>14</v>
      </c>
      <c r="C43" s="42">
        <f>110.32/264.18*1000000</f>
        <v>417594.0646528881</v>
      </c>
      <c r="D43" s="43">
        <v>116442</v>
      </c>
      <c r="E43" s="43">
        <v>51685</v>
      </c>
    </row>
    <row r="44" spans="1:5" x14ac:dyDescent="0.2">
      <c r="A44" s="17"/>
      <c r="B44" s="21" t="s">
        <v>15</v>
      </c>
      <c r="C44" s="42">
        <f>111.02/264.18*1000000</f>
        <v>420243.77318494965</v>
      </c>
      <c r="D44" s="43">
        <v>116509</v>
      </c>
      <c r="E44" s="43">
        <v>51718</v>
      </c>
    </row>
    <row r="45" spans="1:5" ht="24" customHeight="1" x14ac:dyDescent="0.2">
      <c r="A45" s="33" t="s">
        <v>18</v>
      </c>
      <c r="B45" s="33" t="s">
        <v>22</v>
      </c>
      <c r="C45" s="48">
        <f>AVERAGE(C46:C57)</f>
        <v>478433.26519797108</v>
      </c>
      <c r="D45" s="48">
        <f>AVERAGE(D46:D57)</f>
        <v>117347.83333333333</v>
      </c>
      <c r="E45" s="48">
        <f>AVERAGE(E46:E57)</f>
        <v>22643.416666666668</v>
      </c>
    </row>
    <row r="46" spans="1:5" x14ac:dyDescent="0.2">
      <c r="A46" s="17"/>
      <c r="B46" s="21" t="s">
        <v>4</v>
      </c>
      <c r="C46" s="42">
        <f>121.75/264.18*1000000</f>
        <v>460860.01968354906</v>
      </c>
      <c r="D46" s="43">
        <v>116411</v>
      </c>
      <c r="E46" s="43">
        <v>22475</v>
      </c>
    </row>
    <row r="47" spans="1:5" x14ac:dyDescent="0.2">
      <c r="A47" s="17"/>
      <c r="B47" s="21" t="s">
        <v>5</v>
      </c>
      <c r="C47" s="42">
        <f>119.68/264.18*1000000</f>
        <v>453024.45302445302</v>
      </c>
      <c r="D47" s="43">
        <v>116496</v>
      </c>
      <c r="E47" s="43">
        <v>22473</v>
      </c>
    </row>
    <row r="48" spans="1:5" x14ac:dyDescent="0.2">
      <c r="A48" s="17"/>
      <c r="B48" s="21" t="s">
        <v>6</v>
      </c>
      <c r="C48" s="42">
        <f>126.56/264.18*1000000</f>
        <v>479067.30259671435</v>
      </c>
      <c r="D48" s="43">
        <v>116639</v>
      </c>
      <c r="E48" s="43">
        <v>22462</v>
      </c>
    </row>
    <row r="49" spans="1:5" x14ac:dyDescent="0.2">
      <c r="A49" s="17"/>
      <c r="B49" s="21" t="s">
        <v>7</v>
      </c>
      <c r="C49" s="42">
        <f>130.36/264.18*1000000</f>
        <v>493451.43462790526</v>
      </c>
      <c r="D49" s="43">
        <v>116821</v>
      </c>
      <c r="E49" s="43">
        <v>22464</v>
      </c>
    </row>
    <row r="50" spans="1:5" x14ac:dyDescent="0.2">
      <c r="A50" s="17"/>
      <c r="B50" s="21" t="s">
        <v>8</v>
      </c>
      <c r="C50" s="42">
        <f>127.05/264.18*1000000</f>
        <v>480922.09856915736</v>
      </c>
      <c r="D50" s="43">
        <v>116931</v>
      </c>
      <c r="E50" s="43">
        <v>22465</v>
      </c>
    </row>
    <row r="51" spans="1:5" x14ac:dyDescent="0.2">
      <c r="A51" s="17"/>
      <c r="B51" s="21" t="s">
        <v>9</v>
      </c>
      <c r="C51" s="42">
        <f>134.57/264.18*1000000</f>
        <v>509387.53879930341</v>
      </c>
      <c r="D51" s="43">
        <v>117110</v>
      </c>
      <c r="E51" s="43">
        <v>22593</v>
      </c>
    </row>
    <row r="52" spans="1:5" x14ac:dyDescent="0.2">
      <c r="A52" s="17"/>
      <c r="B52" s="21" t="s">
        <v>10</v>
      </c>
      <c r="C52" s="42">
        <f>130.85/264.18*1000000</f>
        <v>495306.23060034821</v>
      </c>
      <c r="D52" s="43">
        <v>117425</v>
      </c>
      <c r="E52" s="43">
        <v>22693</v>
      </c>
    </row>
    <row r="53" spans="1:5" x14ac:dyDescent="0.2">
      <c r="A53" s="17"/>
      <c r="B53" s="21" t="s">
        <v>11</v>
      </c>
      <c r="C53" s="42">
        <f>131.7/264.18*1000000</f>
        <v>498523.7338178514</v>
      </c>
      <c r="D53" s="43">
        <v>117534</v>
      </c>
      <c r="E53" s="43">
        <v>22723</v>
      </c>
    </row>
    <row r="54" spans="1:5" x14ac:dyDescent="0.2">
      <c r="A54" s="17"/>
      <c r="B54" s="21" t="s">
        <v>12</v>
      </c>
      <c r="C54" s="42">
        <f>130.1/264.18*1000000</f>
        <v>492467.25717313949</v>
      </c>
      <c r="D54" s="43">
        <v>117696</v>
      </c>
      <c r="E54" s="43">
        <v>22723</v>
      </c>
    </row>
    <row r="55" spans="1:5" x14ac:dyDescent="0.2">
      <c r="A55" s="17"/>
      <c r="B55" s="21" t="s">
        <v>13</v>
      </c>
      <c r="C55" s="42">
        <f>128.99/264.18*1000000</f>
        <v>488265.57650087064</v>
      </c>
      <c r="D55" s="43">
        <v>117947</v>
      </c>
      <c r="E55" s="43">
        <v>22781</v>
      </c>
    </row>
    <row r="56" spans="1:5" x14ac:dyDescent="0.2">
      <c r="A56" s="17"/>
      <c r="B56" s="21" t="s">
        <v>14</v>
      </c>
      <c r="C56" s="42">
        <f>116.99/264.18*1000000</f>
        <v>442842.00166553108</v>
      </c>
      <c r="D56" s="43">
        <v>118637</v>
      </c>
      <c r="E56" s="43">
        <v>22934</v>
      </c>
    </row>
    <row r="57" spans="1:5" x14ac:dyDescent="0.2">
      <c r="A57" s="17"/>
      <c r="B57" s="21" t="s">
        <v>15</v>
      </c>
      <c r="C57" s="42">
        <f>118.11/264.18*1000000</f>
        <v>447081.53531682945</v>
      </c>
      <c r="D57" s="43">
        <v>118527</v>
      </c>
      <c r="E57" s="43">
        <v>22935</v>
      </c>
    </row>
    <row r="58" spans="1:5" ht="24" customHeight="1" x14ac:dyDescent="0.2">
      <c r="A58" s="33" t="s">
        <v>19</v>
      </c>
      <c r="B58" s="33" t="s">
        <v>22</v>
      </c>
      <c r="C58" s="48">
        <f>AVERAGE(C59:C70)</f>
        <v>135005.80412345121</v>
      </c>
      <c r="D58" s="48">
        <f>AVERAGE(D59:D70)</f>
        <v>39252.333333333336</v>
      </c>
      <c r="E58" s="48">
        <f>AVERAGE(E59:E70)</f>
        <v>6593.75</v>
      </c>
    </row>
    <row r="59" spans="1:5" x14ac:dyDescent="0.2">
      <c r="A59" s="17"/>
      <c r="B59" s="21" t="s">
        <v>4</v>
      </c>
      <c r="C59" s="42">
        <f>35.78/264.18*1000000</f>
        <v>135437.95896737074</v>
      </c>
      <c r="D59" s="43">
        <v>38665</v>
      </c>
      <c r="E59" s="43">
        <v>6425</v>
      </c>
    </row>
    <row r="60" spans="1:5" x14ac:dyDescent="0.2">
      <c r="A60" s="17"/>
      <c r="B60" s="21" t="s">
        <v>5</v>
      </c>
      <c r="C60" s="42">
        <f>36.25/264.18*1000000</f>
        <v>137217.04898175487</v>
      </c>
      <c r="D60" s="43">
        <v>38895</v>
      </c>
      <c r="E60" s="43">
        <v>6535</v>
      </c>
    </row>
    <row r="61" spans="1:5" x14ac:dyDescent="0.2">
      <c r="A61" s="17"/>
      <c r="B61" s="21" t="s">
        <v>6</v>
      </c>
      <c r="C61" s="42">
        <f>36.55/264.18*1000000</f>
        <v>138352.63835263834</v>
      </c>
      <c r="D61" s="43">
        <v>38996</v>
      </c>
      <c r="E61" s="43">
        <v>6587</v>
      </c>
    </row>
    <row r="62" spans="1:5" x14ac:dyDescent="0.2">
      <c r="A62" s="17"/>
      <c r="B62" s="21" t="s">
        <v>7</v>
      </c>
      <c r="C62" s="42">
        <f>37.19/264.18*1000000</f>
        <v>140775.22901052312</v>
      </c>
      <c r="D62" s="43">
        <v>39103</v>
      </c>
      <c r="E62" s="43">
        <v>6599</v>
      </c>
    </row>
    <row r="63" spans="1:5" x14ac:dyDescent="0.2">
      <c r="A63" s="17"/>
      <c r="B63" s="21" t="s">
        <v>8</v>
      </c>
      <c r="C63" s="42">
        <f>37.38/264.18*1000000</f>
        <v>141494.43561208266</v>
      </c>
      <c r="D63" s="43">
        <v>39239</v>
      </c>
      <c r="E63" s="43">
        <v>6596</v>
      </c>
    </row>
    <row r="64" spans="1:5" x14ac:dyDescent="0.2">
      <c r="A64" s="17"/>
      <c r="B64" s="21" t="s">
        <v>9</v>
      </c>
      <c r="C64" s="42">
        <f>36.98/264.18*1000000</f>
        <v>139980.31645090468</v>
      </c>
      <c r="D64" s="43">
        <v>39232</v>
      </c>
      <c r="E64" s="43">
        <v>6598</v>
      </c>
    </row>
    <row r="65" spans="1:5" x14ac:dyDescent="0.2">
      <c r="A65" s="17"/>
      <c r="B65" s="21" t="s">
        <v>10</v>
      </c>
      <c r="C65" s="42">
        <f>33.88/264.18*1000000</f>
        <v>128245.8929517753</v>
      </c>
      <c r="D65" s="43">
        <v>39292</v>
      </c>
      <c r="E65" s="43">
        <v>6610</v>
      </c>
    </row>
    <row r="66" spans="1:5" x14ac:dyDescent="0.2">
      <c r="A66" s="17"/>
      <c r="B66" s="21" t="s">
        <v>11</v>
      </c>
      <c r="C66" s="42">
        <f>35.19/264.18*1000000</f>
        <v>133204.6332046332</v>
      </c>
      <c r="D66" s="43">
        <v>39381</v>
      </c>
      <c r="E66" s="43">
        <v>6605</v>
      </c>
    </row>
    <row r="67" spans="1:5" x14ac:dyDescent="0.2">
      <c r="A67" s="17"/>
      <c r="B67" s="21" t="s">
        <v>12</v>
      </c>
      <c r="C67" s="42">
        <f>33.74/264.18*1000000</f>
        <v>127715.951245363</v>
      </c>
      <c r="D67" s="43">
        <v>39470</v>
      </c>
      <c r="E67" s="43">
        <v>6618</v>
      </c>
    </row>
    <row r="68" spans="1:5" x14ac:dyDescent="0.2">
      <c r="A68" s="17"/>
      <c r="B68" s="21" t="s">
        <v>13</v>
      </c>
      <c r="C68" s="42">
        <f>34.88/264.18*1000000</f>
        <v>132031.19085472025</v>
      </c>
      <c r="D68" s="43">
        <v>39544</v>
      </c>
      <c r="E68" s="43">
        <v>6637</v>
      </c>
    </row>
    <row r="69" spans="1:5" x14ac:dyDescent="0.2">
      <c r="A69" s="17"/>
      <c r="B69" s="21" t="s">
        <v>14</v>
      </c>
      <c r="C69" s="42">
        <f>33.92/264.18*1000000</f>
        <v>128397.30486789311</v>
      </c>
      <c r="D69" s="43">
        <v>39602</v>
      </c>
      <c r="E69" s="43">
        <v>6663</v>
      </c>
    </row>
    <row r="70" spans="1:5" x14ac:dyDescent="0.2">
      <c r="A70" s="34"/>
      <c r="B70" s="26" t="s">
        <v>15</v>
      </c>
      <c r="C70" s="44">
        <f>36.25/264.18*1000000</f>
        <v>137217.04898175487</v>
      </c>
      <c r="D70" s="45">
        <v>39609</v>
      </c>
      <c r="E70" s="45">
        <v>6652</v>
      </c>
    </row>
    <row r="71" spans="1:5" x14ac:dyDescent="0.2">
      <c r="A71" s="47" t="s">
        <v>63</v>
      </c>
      <c r="B71" s="21"/>
      <c r="C71" s="35"/>
      <c r="D71" s="22"/>
      <c r="E71" s="22"/>
    </row>
    <row r="72" spans="1:5" ht="18" customHeight="1" x14ac:dyDescent="0.2">
      <c r="A72" s="77" t="s">
        <v>50</v>
      </c>
      <c r="B72" s="77"/>
      <c r="C72" s="77"/>
      <c r="D72" s="77"/>
      <c r="E72" s="77"/>
    </row>
    <row r="73" spans="1:5" ht="11.25" customHeight="1" x14ac:dyDescent="0.2">
      <c r="A73" s="77" t="s">
        <v>33</v>
      </c>
      <c r="B73" s="77"/>
      <c r="C73" s="77"/>
      <c r="D73" s="77"/>
      <c r="E73" s="77"/>
    </row>
    <row r="74" spans="1:5" ht="11.25" customHeight="1" x14ac:dyDescent="0.2">
      <c r="A74" s="77" t="s">
        <v>38</v>
      </c>
      <c r="B74" s="77"/>
      <c r="C74" s="77"/>
      <c r="D74" s="77"/>
      <c r="E74" s="77"/>
    </row>
    <row r="75" spans="1:5" ht="11.25" customHeight="1" x14ac:dyDescent="0.2">
      <c r="A75" s="77" t="s">
        <v>34</v>
      </c>
      <c r="B75" s="77"/>
      <c r="C75" s="77"/>
      <c r="D75" s="77"/>
      <c r="E75" s="77"/>
    </row>
    <row r="76" spans="1:5" ht="11.25" customHeight="1" x14ac:dyDescent="0.2">
      <c r="A76" s="77" t="s">
        <v>24</v>
      </c>
      <c r="B76" s="77"/>
      <c r="C76" s="77"/>
      <c r="D76" s="77"/>
      <c r="E76" s="77"/>
    </row>
    <row r="77" spans="1:5" ht="18" customHeight="1" x14ac:dyDescent="0.2">
      <c r="A77" s="77" t="s">
        <v>23</v>
      </c>
      <c r="B77" s="77"/>
      <c r="C77" s="77"/>
      <c r="D77" s="77"/>
      <c r="E77" s="77"/>
    </row>
  </sheetData>
  <mergeCells count="10">
    <mergeCell ref="A1:E1"/>
    <mergeCell ref="A4:A5"/>
    <mergeCell ref="B4:B5"/>
    <mergeCell ref="A77:E77"/>
    <mergeCell ref="A72:E72"/>
    <mergeCell ref="A73:E73"/>
    <mergeCell ref="A75:E75"/>
    <mergeCell ref="A76:E76"/>
    <mergeCell ref="A74:E74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7"/>
  <sheetViews>
    <sheetView workbookViewId="0">
      <selection activeCell="G7" sqref="G7"/>
    </sheetView>
  </sheetViews>
  <sheetFormatPr baseColWidth="10" defaultColWidth="11.42578125" defaultRowHeight="12" x14ac:dyDescent="0.2"/>
  <cols>
    <col min="1" max="1" width="15.42578125" style="9" customWidth="1"/>
    <col min="2" max="2" width="16" style="9" customWidth="1"/>
    <col min="3" max="5" width="21.28515625" style="9" customWidth="1"/>
    <col min="6" max="16384" width="11.42578125" style="9"/>
  </cols>
  <sheetData>
    <row r="1" spans="1:11" x14ac:dyDescent="0.2">
      <c r="A1" s="74"/>
      <c r="B1" s="74"/>
      <c r="C1" s="74"/>
      <c r="D1" s="74"/>
      <c r="E1" s="74"/>
    </row>
    <row r="2" spans="1:11" ht="24" customHeight="1" x14ac:dyDescent="0.2">
      <c r="A2" s="78" t="s">
        <v>47</v>
      </c>
      <c r="B2" s="78"/>
      <c r="C2" s="78"/>
      <c r="D2" s="78"/>
      <c r="E2" s="78"/>
      <c r="F2" s="67"/>
      <c r="G2" s="67"/>
      <c r="H2" s="67"/>
      <c r="I2" s="67"/>
      <c r="J2" s="67"/>
      <c r="K2" s="67"/>
    </row>
    <row r="3" spans="1:11" x14ac:dyDescent="0.2">
      <c r="A3" s="17"/>
      <c r="B3" s="18"/>
      <c r="C3" s="19"/>
      <c r="D3" s="17"/>
      <c r="E3" s="17"/>
    </row>
    <row r="4" spans="1:11" ht="26.25" x14ac:dyDescent="0.2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1" ht="14.25" x14ac:dyDescent="0.2">
      <c r="A5" s="76"/>
      <c r="B5" s="76"/>
      <c r="C5" s="28" t="s">
        <v>32</v>
      </c>
      <c r="D5" s="20"/>
      <c r="E5" s="20"/>
    </row>
    <row r="6" spans="1:11" ht="21.6" customHeight="1" x14ac:dyDescent="0.2">
      <c r="A6" s="36" t="s">
        <v>55</v>
      </c>
      <c r="B6" s="29"/>
      <c r="C6" s="40">
        <f>AVERAGE(C7:C18)</f>
        <v>1566977.0926388574</v>
      </c>
      <c r="D6" s="40">
        <f>AVERAGE(D7:D18)</f>
        <v>378007.41666666669</v>
      </c>
      <c r="E6" s="40">
        <f>AVERAGE(E7:E18)</f>
        <v>134756.75</v>
      </c>
    </row>
    <row r="7" spans="1:11" ht="12.6" customHeight="1" x14ac:dyDescent="0.2">
      <c r="A7" s="31" t="s">
        <v>2</v>
      </c>
      <c r="B7" s="21" t="s">
        <v>4</v>
      </c>
      <c r="C7" s="40">
        <f t="shared" ref="C7:E18" si="0">C20+C33+C46+C59</f>
        <v>1537815.1260504201</v>
      </c>
      <c r="D7" s="40">
        <f>D20+D33+D46+D59</f>
        <v>374500</v>
      </c>
      <c r="E7" s="40">
        <f t="shared" si="0"/>
        <v>127877</v>
      </c>
    </row>
    <row r="8" spans="1:11" ht="12.6" customHeight="1" x14ac:dyDescent="0.2">
      <c r="A8" s="17"/>
      <c r="B8" s="21" t="s">
        <v>5</v>
      </c>
      <c r="C8" s="40">
        <f t="shared" si="0"/>
        <v>1524683.9276251039</v>
      </c>
      <c r="D8" s="40">
        <f t="shared" si="0"/>
        <v>375737</v>
      </c>
      <c r="E8" s="40">
        <f t="shared" ref="E8" si="1">E21+E34+E47+E60</f>
        <v>128760</v>
      </c>
    </row>
    <row r="9" spans="1:11" ht="12.6" customHeight="1" x14ac:dyDescent="0.2">
      <c r="A9" s="17"/>
      <c r="B9" s="21" t="s">
        <v>6</v>
      </c>
      <c r="C9" s="40">
        <f t="shared" si="0"/>
        <v>1557498.6751457341</v>
      </c>
      <c r="D9" s="40">
        <f t="shared" si="0"/>
        <v>376124</v>
      </c>
      <c r="E9" s="40">
        <f t="shared" ref="E9" si="2">E22+E35+E48+E61</f>
        <v>129860</v>
      </c>
    </row>
    <row r="10" spans="1:11" ht="12.6" customHeight="1" x14ac:dyDescent="0.2">
      <c r="A10" s="17"/>
      <c r="B10" s="21" t="s">
        <v>7</v>
      </c>
      <c r="C10" s="40">
        <f t="shared" si="0"/>
        <v>1554319.0249072602</v>
      </c>
      <c r="D10" s="40">
        <f t="shared" si="0"/>
        <v>376579</v>
      </c>
      <c r="E10" s="40">
        <f t="shared" ref="E10" si="3">E23+E36+E49+E62</f>
        <v>131923</v>
      </c>
    </row>
    <row r="11" spans="1:11" ht="12.6" customHeight="1" x14ac:dyDescent="0.2">
      <c r="A11" s="17"/>
      <c r="B11" s="21" t="s">
        <v>8</v>
      </c>
      <c r="C11" s="40">
        <f t="shared" si="0"/>
        <v>1540616.2464985994</v>
      </c>
      <c r="D11" s="40">
        <f t="shared" si="0"/>
        <v>377006</v>
      </c>
      <c r="E11" s="40">
        <f t="shared" ref="E11" si="4">E24+E37+E50+E63</f>
        <v>134236</v>
      </c>
    </row>
    <row r="12" spans="1:11" ht="12.6" customHeight="1" x14ac:dyDescent="0.2">
      <c r="A12" s="17"/>
      <c r="B12" s="21" t="s">
        <v>9</v>
      </c>
      <c r="C12" s="40">
        <f t="shared" si="0"/>
        <v>1565296.3888258005</v>
      </c>
      <c r="D12" s="40">
        <f t="shared" si="0"/>
        <v>377730</v>
      </c>
      <c r="E12" s="40">
        <f t="shared" ref="E12" si="5">E25+E38+E51+E64</f>
        <v>135435</v>
      </c>
    </row>
    <row r="13" spans="1:11" ht="12.6" customHeight="1" x14ac:dyDescent="0.2">
      <c r="A13" s="17"/>
      <c r="B13" s="21" t="s">
        <v>10</v>
      </c>
      <c r="C13" s="40">
        <f t="shared" si="0"/>
        <v>1570595.8058899236</v>
      </c>
      <c r="D13" s="40">
        <f t="shared" si="0"/>
        <v>378181</v>
      </c>
      <c r="E13" s="40">
        <f t="shared" ref="E13" si="6">E26+E39+E52+E65</f>
        <v>136278</v>
      </c>
    </row>
    <row r="14" spans="1:11" ht="12.6" customHeight="1" x14ac:dyDescent="0.2">
      <c r="A14" s="17"/>
      <c r="B14" s="21" t="s">
        <v>11</v>
      </c>
      <c r="C14" s="40">
        <f t="shared" si="0"/>
        <v>1564781.588311</v>
      </c>
      <c r="D14" s="40">
        <f t="shared" si="0"/>
        <v>379073</v>
      </c>
      <c r="E14" s="40">
        <f t="shared" ref="E14" si="7">E27+E40+E53+E66</f>
        <v>136159</v>
      </c>
    </row>
    <row r="15" spans="1:11" ht="12.6" customHeight="1" x14ac:dyDescent="0.2">
      <c r="A15" s="17"/>
      <c r="B15" s="21" t="s">
        <v>12</v>
      </c>
      <c r="C15" s="40">
        <f t="shared" si="0"/>
        <v>1571731.3952608069</v>
      </c>
      <c r="D15" s="40">
        <f t="shared" si="0"/>
        <v>379423</v>
      </c>
      <c r="E15" s="40">
        <f t="shared" ref="E15" si="8">E28+E41+E54+E67</f>
        <v>137409</v>
      </c>
    </row>
    <row r="16" spans="1:11" ht="12.6" customHeight="1" x14ac:dyDescent="0.2">
      <c r="A16" s="17"/>
      <c r="B16" s="21" t="s">
        <v>13</v>
      </c>
      <c r="C16" s="40">
        <f t="shared" si="0"/>
        <v>1601029.6010296009</v>
      </c>
      <c r="D16" s="40">
        <f t="shared" si="0"/>
        <v>380171</v>
      </c>
      <c r="E16" s="40">
        <f t="shared" ref="E16" si="9">E29+E42+E55+E68</f>
        <v>139086</v>
      </c>
    </row>
    <row r="17" spans="1:5" ht="12.6" customHeight="1" x14ac:dyDescent="0.2">
      <c r="A17" s="17"/>
      <c r="B17" s="21" t="s">
        <v>14</v>
      </c>
      <c r="C17" s="40">
        <f t="shared" si="0"/>
        <v>1613645.9989401167</v>
      </c>
      <c r="D17" s="40">
        <f t="shared" si="0"/>
        <v>380678</v>
      </c>
      <c r="E17" s="40">
        <f t="shared" ref="E17" si="10">E30+E43+E56+E69</f>
        <v>139858</v>
      </c>
    </row>
    <row r="18" spans="1:5" ht="12.6" customHeight="1" x14ac:dyDescent="0.2">
      <c r="A18" s="17"/>
      <c r="B18" s="21" t="s">
        <v>15</v>
      </c>
      <c r="C18" s="40">
        <f t="shared" si="0"/>
        <v>1601711.3331819214</v>
      </c>
      <c r="D18" s="40">
        <f t="shared" si="0"/>
        <v>380887</v>
      </c>
      <c r="E18" s="40">
        <f>E31+E44+E57+E70</f>
        <v>140200</v>
      </c>
    </row>
    <row r="19" spans="1:5" ht="24" customHeight="1" x14ac:dyDescent="0.2">
      <c r="A19" s="33" t="s">
        <v>16</v>
      </c>
      <c r="B19" s="33" t="s">
        <v>22</v>
      </c>
      <c r="C19" s="48">
        <f>AVERAGE(C20:C31)</f>
        <v>568177.00052994175</v>
      </c>
      <c r="D19" s="48">
        <f>AVERAGE(D20:D31)</f>
        <v>100939.20833333333</v>
      </c>
      <c r="E19" s="48">
        <f>AVERAGE(E20:E31)</f>
        <v>50798.625</v>
      </c>
    </row>
    <row r="20" spans="1:5" x14ac:dyDescent="0.2">
      <c r="A20" s="17"/>
      <c r="B20" s="21" t="s">
        <v>4</v>
      </c>
      <c r="C20" s="42">
        <f>147.818/264.18*1000000</f>
        <v>559535.16541751835</v>
      </c>
      <c r="D20" s="43">
        <v>99335</v>
      </c>
      <c r="E20" s="43">
        <v>46400</v>
      </c>
    </row>
    <row r="21" spans="1:5" x14ac:dyDescent="0.2">
      <c r="A21" s="17"/>
      <c r="B21" s="21" t="s">
        <v>5</v>
      </c>
      <c r="C21" s="42">
        <f>148.412/264.18*1000000</f>
        <v>561783.63237186766</v>
      </c>
      <c r="D21" s="43">
        <v>99779</v>
      </c>
      <c r="E21" s="43">
        <v>47013</v>
      </c>
    </row>
    <row r="22" spans="1:5" x14ac:dyDescent="0.2">
      <c r="A22" s="17"/>
      <c r="B22" s="21" t="s">
        <v>6</v>
      </c>
      <c r="C22" s="42">
        <f>148.24/264.18*1000000</f>
        <v>561132.56113256118</v>
      </c>
      <c r="D22" s="43">
        <v>99792</v>
      </c>
      <c r="E22" s="43">
        <v>47783</v>
      </c>
    </row>
    <row r="23" spans="1:5" x14ac:dyDescent="0.2">
      <c r="A23" s="17"/>
      <c r="B23" s="21" t="s">
        <v>7</v>
      </c>
      <c r="C23" s="42">
        <v>567983.95033689158</v>
      </c>
      <c r="D23" s="43">
        <v>99907</v>
      </c>
      <c r="E23" s="43">
        <v>49535</v>
      </c>
    </row>
    <row r="24" spans="1:5" x14ac:dyDescent="0.2">
      <c r="A24" s="17"/>
      <c r="B24" s="21" t="s">
        <v>8</v>
      </c>
      <c r="C24" s="42">
        <f>148.05/264.18*1000000</f>
        <v>560413.35453100165</v>
      </c>
      <c r="D24" s="43">
        <v>100017</v>
      </c>
      <c r="E24" s="43">
        <v>50976</v>
      </c>
    </row>
    <row r="25" spans="1:5" x14ac:dyDescent="0.2">
      <c r="A25" s="17"/>
      <c r="B25" s="21" t="s">
        <v>9</v>
      </c>
      <c r="C25" s="42">
        <f>149.01/264.18*1000000</f>
        <v>564047.24051782873</v>
      </c>
      <c r="D25" s="43">
        <v>100232</v>
      </c>
      <c r="E25" s="43">
        <v>51281</v>
      </c>
    </row>
    <row r="26" spans="1:5" x14ac:dyDescent="0.2">
      <c r="A26" s="17"/>
      <c r="B26" s="21" t="s">
        <v>10</v>
      </c>
      <c r="C26" s="42">
        <f>150.48/264.18*1000000</f>
        <v>569611.62843515782</v>
      </c>
      <c r="D26" s="43">
        <v>100338</v>
      </c>
      <c r="E26" s="43">
        <v>51807</v>
      </c>
    </row>
    <row r="27" spans="1:5" x14ac:dyDescent="0.2">
      <c r="A27" s="17"/>
      <c r="B27" s="21" t="s">
        <v>11</v>
      </c>
      <c r="C27" s="42">
        <f>152.305/264.18*1000000</f>
        <v>576519.79710803239</v>
      </c>
      <c r="D27" s="43">
        <v>100465</v>
      </c>
      <c r="E27" s="43">
        <v>50954</v>
      </c>
    </row>
    <row r="28" spans="1:5" x14ac:dyDescent="0.2">
      <c r="A28" s="17"/>
      <c r="B28" s="21" t="s">
        <v>12</v>
      </c>
      <c r="C28" s="42">
        <f>154.133/264.18*1000000</f>
        <v>583439.32167461573</v>
      </c>
      <c r="D28" s="43">
        <f>218721/2</f>
        <v>109360.5</v>
      </c>
      <c r="E28" s="43">
        <f>106253/2</f>
        <v>53126.5</v>
      </c>
    </row>
    <row r="29" spans="1:5" x14ac:dyDescent="0.2">
      <c r="A29" s="17"/>
      <c r="B29" s="21" t="s">
        <v>13</v>
      </c>
      <c r="C29" s="42">
        <f>153.73/264.18*1000000</f>
        <v>581913.84661972884</v>
      </c>
      <c r="D29" s="43">
        <v>100596</v>
      </c>
      <c r="E29" s="43">
        <v>53204</v>
      </c>
    </row>
    <row r="30" spans="1:5" x14ac:dyDescent="0.2">
      <c r="A30" s="17"/>
      <c r="B30" s="21" t="s">
        <v>14</v>
      </c>
      <c r="C30" s="42">
        <f>152.234/264.18*1000000</f>
        <v>576251.04095692339</v>
      </c>
      <c r="D30" s="43">
        <v>100684</v>
      </c>
      <c r="E30" s="43">
        <v>53642</v>
      </c>
    </row>
    <row r="31" spans="1:5" x14ac:dyDescent="0.2">
      <c r="A31" s="17"/>
      <c r="B31" s="21" t="s">
        <v>15</v>
      </c>
      <c r="C31" s="42">
        <f>146.75/264.18*1000000</f>
        <v>555492.46725717315</v>
      </c>
      <c r="D31" s="43">
        <v>100765</v>
      </c>
      <c r="E31" s="43">
        <v>53862</v>
      </c>
    </row>
    <row r="32" spans="1:5" ht="24" customHeight="1" x14ac:dyDescent="0.2">
      <c r="A32" s="33" t="s">
        <v>20</v>
      </c>
      <c r="B32" s="33" t="s">
        <v>22</v>
      </c>
      <c r="C32" s="48">
        <f>AVERAGE(C33:C44)</f>
        <v>430646.40270522627</v>
      </c>
      <c r="D32" s="48">
        <f>AVERAGE(D33:D44)</f>
        <v>116979.45833333333</v>
      </c>
      <c r="E32" s="48">
        <f>AVERAGE(E33:E44)</f>
        <v>53409.958333333336</v>
      </c>
    </row>
    <row r="33" spans="1:5" x14ac:dyDescent="0.2">
      <c r="A33" s="17"/>
      <c r="B33" s="21" t="s">
        <v>4</v>
      </c>
      <c r="C33" s="42">
        <f>106.789/264.18*1000000</f>
        <v>404228.1777575895</v>
      </c>
      <c r="D33" s="43">
        <v>116790</v>
      </c>
      <c r="E33" s="43">
        <v>51913</v>
      </c>
    </row>
    <row r="34" spans="1:5" x14ac:dyDescent="0.2">
      <c r="A34" s="17"/>
      <c r="B34" s="21" t="s">
        <v>5</v>
      </c>
      <c r="C34" s="42">
        <f>103.14/264.18*1000000</f>
        <v>390415.62570974336</v>
      </c>
      <c r="D34" s="43">
        <v>116958</v>
      </c>
      <c r="E34" s="43">
        <v>52078</v>
      </c>
    </row>
    <row r="35" spans="1:5" x14ac:dyDescent="0.2">
      <c r="A35" s="17"/>
      <c r="B35" s="21" t="s">
        <v>6</v>
      </c>
      <c r="C35" s="42">
        <f>111.13/264.18*1000000</f>
        <v>420660.15595427359</v>
      </c>
      <c r="D35" s="43">
        <v>117130</v>
      </c>
      <c r="E35" s="43">
        <v>52254</v>
      </c>
    </row>
    <row r="36" spans="1:5" x14ac:dyDescent="0.2">
      <c r="A36" s="17"/>
      <c r="B36" s="21" t="s">
        <v>7</v>
      </c>
      <c r="C36" s="42">
        <v>422817.77575895225</v>
      </c>
      <c r="D36" s="43">
        <v>117284</v>
      </c>
      <c r="E36" s="43">
        <v>52441</v>
      </c>
    </row>
    <row r="37" spans="1:5" x14ac:dyDescent="0.2">
      <c r="A37" s="17"/>
      <c r="B37" s="21" t="s">
        <v>8</v>
      </c>
      <c r="C37" s="42">
        <f>107.78/264.18*1000000</f>
        <v>407979.40797940799</v>
      </c>
      <c r="D37" s="43">
        <v>117389</v>
      </c>
      <c r="E37" s="43">
        <v>53095</v>
      </c>
    </row>
    <row r="38" spans="1:5" x14ac:dyDescent="0.2">
      <c r="A38" s="17"/>
      <c r="B38" s="21" t="s">
        <v>9</v>
      </c>
      <c r="C38" s="42">
        <f>110.9/264.18*1000000</f>
        <v>419789.53743659623</v>
      </c>
      <c r="D38" s="43">
        <v>117491</v>
      </c>
      <c r="E38" s="43">
        <v>53584</v>
      </c>
    </row>
    <row r="39" spans="1:5" x14ac:dyDescent="0.2">
      <c r="A39" s="17"/>
      <c r="B39" s="21" t="s">
        <v>10</v>
      </c>
      <c r="C39" s="42">
        <f>114.98/264.18*1000000</f>
        <v>435233.55288061174</v>
      </c>
      <c r="D39" s="43">
        <v>117710</v>
      </c>
      <c r="E39" s="43">
        <v>53792</v>
      </c>
    </row>
    <row r="40" spans="1:5" x14ac:dyDescent="0.2">
      <c r="A40" s="17"/>
      <c r="B40" s="21" t="s">
        <v>11</v>
      </c>
      <c r="C40" s="42">
        <f>115.543/264.18*1000000</f>
        <v>437364.67559996975</v>
      </c>
      <c r="D40" s="43">
        <v>117968</v>
      </c>
      <c r="E40" s="43">
        <v>54099</v>
      </c>
    </row>
    <row r="41" spans="1:5" x14ac:dyDescent="0.2">
      <c r="A41" s="17"/>
      <c r="B41" s="21" t="s">
        <v>12</v>
      </c>
      <c r="C41" s="42">
        <f>115.929/264.18*1000000</f>
        <v>438825.80059050646</v>
      </c>
      <c r="D41" s="43">
        <f>218721/2</f>
        <v>109360.5</v>
      </c>
      <c r="E41" s="43">
        <f>106253/2</f>
        <v>53126.5</v>
      </c>
    </row>
    <row r="42" spans="1:5" x14ac:dyDescent="0.2">
      <c r="A42" s="17"/>
      <c r="B42" s="21" t="s">
        <v>13</v>
      </c>
      <c r="C42" s="42">
        <f>119.03/264.18*1000000</f>
        <v>450564.00938753877</v>
      </c>
      <c r="D42" s="43">
        <v>118371</v>
      </c>
      <c r="E42" s="43">
        <v>54667</v>
      </c>
    </row>
    <row r="43" spans="1:5" x14ac:dyDescent="0.2">
      <c r="A43" s="17"/>
      <c r="B43" s="21" t="s">
        <v>14</v>
      </c>
      <c r="C43" s="42">
        <f>123.218/264.18*1000000</f>
        <v>466416.83700507233</v>
      </c>
      <c r="D43" s="43">
        <v>118619</v>
      </c>
      <c r="E43" s="43">
        <v>54884</v>
      </c>
    </row>
    <row r="44" spans="1:5" x14ac:dyDescent="0.2">
      <c r="A44" s="17"/>
      <c r="B44" s="21" t="s">
        <v>15</v>
      </c>
      <c r="C44" s="42">
        <f>125.079/264.18*1000000</f>
        <v>473461.27640245284</v>
      </c>
      <c r="D44" s="43">
        <v>118683</v>
      </c>
      <c r="E44" s="43">
        <v>54986</v>
      </c>
    </row>
    <row r="45" spans="1:5" ht="24" customHeight="1" x14ac:dyDescent="0.2">
      <c r="A45" s="33" t="s">
        <v>18</v>
      </c>
      <c r="B45" s="33" t="s">
        <v>22</v>
      </c>
      <c r="C45" s="48">
        <f>AVERAGE(C46:C57)</f>
        <v>433454.77830771945</v>
      </c>
      <c r="D45" s="48">
        <f>AVERAGE(D46:D57)</f>
        <v>120069.33333333333</v>
      </c>
      <c r="E45" s="48">
        <f>AVERAGE(E46:E57)</f>
        <v>23553.416666666668</v>
      </c>
    </row>
    <row r="46" spans="1:5" x14ac:dyDescent="0.2">
      <c r="A46" s="17"/>
      <c r="B46" s="21" t="s">
        <v>4</v>
      </c>
      <c r="C46" s="42">
        <f>115.173/264.18*1000000</f>
        <v>435964.11537588009</v>
      </c>
      <c r="D46" s="43">
        <v>118772</v>
      </c>
      <c r="E46" s="43">
        <v>22931</v>
      </c>
    </row>
    <row r="47" spans="1:5" x14ac:dyDescent="0.2">
      <c r="A47" s="17"/>
      <c r="B47" s="21" t="s">
        <v>5</v>
      </c>
      <c r="C47" s="42">
        <f>115.541/264.18*1000000</f>
        <v>437357.10500416381</v>
      </c>
      <c r="D47" s="43">
        <v>119404</v>
      </c>
      <c r="E47" s="43">
        <v>23035</v>
      </c>
    </row>
    <row r="48" spans="1:5" x14ac:dyDescent="0.2">
      <c r="A48" s="17"/>
      <c r="B48" s="21" t="s">
        <v>6</v>
      </c>
      <c r="C48" s="42">
        <f>116.57/264.18*1000000</f>
        <v>441252.17654629418</v>
      </c>
      <c r="D48" s="43">
        <v>119598</v>
      </c>
      <c r="E48" s="43">
        <v>23195</v>
      </c>
    </row>
    <row r="49" spans="1:5" x14ac:dyDescent="0.2">
      <c r="A49" s="17"/>
      <c r="B49" s="21" t="s">
        <v>7</v>
      </c>
      <c r="C49" s="42">
        <v>430766.90135513659</v>
      </c>
      <c r="D49" s="43">
        <v>119793</v>
      </c>
      <c r="E49" s="43">
        <v>23320</v>
      </c>
    </row>
    <row r="50" spans="1:5" x14ac:dyDescent="0.2">
      <c r="A50" s="17"/>
      <c r="B50" s="21" t="s">
        <v>8</v>
      </c>
      <c r="C50" s="42">
        <f>116.92/264.18*1000000</f>
        <v>442577.0308123249</v>
      </c>
      <c r="D50" s="43">
        <v>119879</v>
      </c>
      <c r="E50" s="43">
        <v>23415</v>
      </c>
    </row>
    <row r="51" spans="1:5" x14ac:dyDescent="0.2">
      <c r="A51" s="17"/>
      <c r="B51" s="21" t="s">
        <v>9</v>
      </c>
      <c r="C51" s="42">
        <f>118.2/264.18*1000000</f>
        <v>447422.21212809446</v>
      </c>
      <c r="D51" s="43">
        <v>120071</v>
      </c>
      <c r="E51" s="43">
        <v>23603</v>
      </c>
    </row>
    <row r="52" spans="1:5" x14ac:dyDescent="0.2">
      <c r="A52" s="17"/>
      <c r="B52" s="21" t="s">
        <v>10</v>
      </c>
      <c r="C52" s="42">
        <f>114.63/264.18*1000000</f>
        <v>433908.69861458091</v>
      </c>
      <c r="D52" s="43">
        <v>120106</v>
      </c>
      <c r="E52" s="43">
        <v>23635</v>
      </c>
    </row>
    <row r="53" spans="1:5" x14ac:dyDescent="0.2">
      <c r="A53" s="17"/>
      <c r="B53" s="21" t="s">
        <v>11</v>
      </c>
      <c r="C53" s="42">
        <f>109.645/264.18*1000000</f>
        <v>415038.98856840032</v>
      </c>
      <c r="D53" s="43">
        <v>120380</v>
      </c>
      <c r="E53" s="43">
        <v>23830</v>
      </c>
    </row>
    <row r="54" spans="1:5" x14ac:dyDescent="0.2">
      <c r="A54" s="17"/>
      <c r="B54" s="21" t="s">
        <v>12</v>
      </c>
      <c r="C54" s="42">
        <f>109.851/264.18*1000000</f>
        <v>415818.75993640698</v>
      </c>
      <c r="D54" s="43">
        <v>120405</v>
      </c>
      <c r="E54" s="43">
        <v>23871</v>
      </c>
    </row>
    <row r="55" spans="1:5" x14ac:dyDescent="0.2">
      <c r="A55" s="17"/>
      <c r="B55" s="21" t="s">
        <v>13</v>
      </c>
      <c r="C55" s="42">
        <f>114.12/264.18*1000000</f>
        <v>431978.19668407907</v>
      </c>
      <c r="D55" s="43">
        <v>120727</v>
      </c>
      <c r="E55" s="43">
        <v>23886</v>
      </c>
    </row>
    <row r="56" spans="1:5" x14ac:dyDescent="0.2">
      <c r="A56" s="17"/>
      <c r="B56" s="21" t="s">
        <v>14</v>
      </c>
      <c r="C56" s="42">
        <f>114.667/264.18*1000000</f>
        <v>434048.75463698996</v>
      </c>
      <c r="D56" s="43">
        <v>120824</v>
      </c>
      <c r="E56" s="43">
        <v>23950</v>
      </c>
    </row>
    <row r="57" spans="1:5" x14ac:dyDescent="0.2">
      <c r="A57" s="17"/>
      <c r="B57" s="21" t="s">
        <v>15</v>
      </c>
      <c r="C57" s="42">
        <f>115.004/264.18*1000000</f>
        <v>435324.40003028238</v>
      </c>
      <c r="D57" s="43">
        <v>120873</v>
      </c>
      <c r="E57" s="43">
        <v>23970</v>
      </c>
    </row>
    <row r="58" spans="1:5" ht="25.5" customHeight="1" x14ac:dyDescent="0.2">
      <c r="A58" s="33" t="s">
        <v>19</v>
      </c>
      <c r="B58" s="33" t="s">
        <v>22</v>
      </c>
      <c r="C58" s="48">
        <f>AVERAGE(C59:C70)</f>
        <v>134698.91109596993</v>
      </c>
      <c r="D58" s="48">
        <f>AVERAGE(D59:D70)</f>
        <v>40019.416666666664</v>
      </c>
      <c r="E58" s="48">
        <f>AVERAGE(E59:E70)</f>
        <v>6994.75</v>
      </c>
    </row>
    <row r="59" spans="1:5" x14ac:dyDescent="0.2">
      <c r="A59" s="17"/>
      <c r="B59" s="21" t="s">
        <v>4</v>
      </c>
      <c r="C59" s="42">
        <f>36.48/264.18*1000000</f>
        <v>138087.66749943219</v>
      </c>
      <c r="D59" s="43">
        <v>39603</v>
      </c>
      <c r="E59" s="43">
        <v>6633</v>
      </c>
    </row>
    <row r="60" spans="1:5" x14ac:dyDescent="0.2">
      <c r="A60" s="17"/>
      <c r="B60" s="21" t="s">
        <v>5</v>
      </c>
      <c r="C60" s="42">
        <f>35.698/264.18*1000000</f>
        <v>135127.56453932927</v>
      </c>
      <c r="D60" s="43">
        <v>39596</v>
      </c>
      <c r="E60" s="43">
        <v>6634</v>
      </c>
    </row>
    <row r="61" spans="1:5" x14ac:dyDescent="0.2">
      <c r="A61" s="17"/>
      <c r="B61" s="21" t="s">
        <v>6</v>
      </c>
      <c r="C61" s="42">
        <f>35.52/264.18*1000000</f>
        <v>134453.78151260506</v>
      </c>
      <c r="D61" s="43">
        <v>39604</v>
      </c>
      <c r="E61" s="43">
        <v>6628</v>
      </c>
    </row>
    <row r="62" spans="1:5" x14ac:dyDescent="0.2">
      <c r="A62" s="17"/>
      <c r="B62" s="21" t="s">
        <v>7</v>
      </c>
      <c r="C62" s="42">
        <v>132750.39745627981</v>
      </c>
      <c r="D62" s="43">
        <v>39595</v>
      </c>
      <c r="E62" s="43">
        <v>6627</v>
      </c>
    </row>
    <row r="63" spans="1:5" x14ac:dyDescent="0.2">
      <c r="A63" s="17"/>
      <c r="B63" s="21" t="s">
        <v>8</v>
      </c>
      <c r="C63" s="42">
        <f>34.25/264.18*1000000</f>
        <v>129646.45317586492</v>
      </c>
      <c r="D63" s="43">
        <v>39721</v>
      </c>
      <c r="E63" s="43">
        <v>6750</v>
      </c>
    </row>
    <row r="64" spans="1:5" x14ac:dyDescent="0.2">
      <c r="A64" s="17"/>
      <c r="B64" s="21" t="s">
        <v>9</v>
      </c>
      <c r="C64" s="42">
        <f>35.41/264.18*1000000</f>
        <v>134037.39874328108</v>
      </c>
      <c r="D64" s="43">
        <v>39936</v>
      </c>
      <c r="E64" s="43">
        <v>6967</v>
      </c>
    </row>
    <row r="65" spans="1:5" x14ac:dyDescent="0.2">
      <c r="A65" s="17"/>
      <c r="B65" s="21" t="s">
        <v>10</v>
      </c>
      <c r="C65" s="42">
        <f>34.83/264.18*1000000</f>
        <v>131841.92595957301</v>
      </c>
      <c r="D65" s="43">
        <v>40027</v>
      </c>
      <c r="E65" s="43">
        <v>7044</v>
      </c>
    </row>
    <row r="66" spans="1:5" x14ac:dyDescent="0.2">
      <c r="A66" s="17"/>
      <c r="B66" s="21" t="s">
        <v>11</v>
      </c>
      <c r="C66" s="42">
        <f>35.891/264.18*1000000</f>
        <v>135858.12703459762</v>
      </c>
      <c r="D66" s="43">
        <v>40260</v>
      </c>
      <c r="E66" s="43">
        <v>7276</v>
      </c>
    </row>
    <row r="67" spans="1:5" x14ac:dyDescent="0.2">
      <c r="A67" s="17"/>
      <c r="B67" s="21" t="s">
        <v>12</v>
      </c>
      <c r="C67" s="42">
        <f>35.307/264.18*1000000</f>
        <v>133647.51305927779</v>
      </c>
      <c r="D67" s="43">
        <v>40297</v>
      </c>
      <c r="E67" s="43">
        <v>7285</v>
      </c>
    </row>
    <row r="68" spans="1:5" x14ac:dyDescent="0.2">
      <c r="A68" s="17"/>
      <c r="B68" s="21" t="s">
        <v>13</v>
      </c>
      <c r="C68" s="42">
        <f>36.08/264.18*1000000</f>
        <v>136573.54833825422</v>
      </c>
      <c r="D68" s="43">
        <v>40477</v>
      </c>
      <c r="E68" s="43">
        <v>7329</v>
      </c>
    </row>
    <row r="69" spans="1:5" x14ac:dyDescent="0.2">
      <c r="A69" s="17"/>
      <c r="B69" s="21" t="s">
        <v>14</v>
      </c>
      <c r="C69" s="42">
        <f>36.174/264.18*1000000</f>
        <v>136929.36634113104</v>
      </c>
      <c r="D69" s="43">
        <v>40551</v>
      </c>
      <c r="E69" s="43">
        <v>7382</v>
      </c>
    </row>
    <row r="70" spans="1:5" x14ac:dyDescent="0.2">
      <c r="A70" s="34"/>
      <c r="B70" s="26" t="s">
        <v>15</v>
      </c>
      <c r="C70" s="44">
        <f>36.3071/264.18*1000000</f>
        <v>137433.18949201301</v>
      </c>
      <c r="D70" s="45">
        <v>40566</v>
      </c>
      <c r="E70" s="45">
        <v>7382</v>
      </c>
    </row>
    <row r="71" spans="1:5" x14ac:dyDescent="0.2">
      <c r="A71" s="47" t="s">
        <v>63</v>
      </c>
      <c r="B71" s="21"/>
      <c r="C71" s="35"/>
      <c r="D71" s="22"/>
      <c r="E71" s="22"/>
    </row>
    <row r="72" spans="1:5" ht="17.25" customHeight="1" x14ac:dyDescent="0.2">
      <c r="A72" s="77" t="s">
        <v>50</v>
      </c>
      <c r="B72" s="77"/>
      <c r="C72" s="77"/>
      <c r="D72" s="77"/>
      <c r="E72" s="77"/>
    </row>
    <row r="73" spans="1:5" ht="11.25" customHeight="1" x14ac:dyDescent="0.2">
      <c r="A73" s="77" t="s">
        <v>33</v>
      </c>
      <c r="B73" s="77"/>
      <c r="C73" s="77"/>
      <c r="D73" s="77"/>
      <c r="E73" s="77"/>
    </row>
    <row r="74" spans="1:5" ht="11.25" customHeight="1" x14ac:dyDescent="0.2">
      <c r="A74" s="77" t="s">
        <v>38</v>
      </c>
      <c r="B74" s="77"/>
      <c r="C74" s="77"/>
      <c r="D74" s="77"/>
      <c r="E74" s="77"/>
    </row>
    <row r="75" spans="1:5" ht="11.25" customHeight="1" x14ac:dyDescent="0.2">
      <c r="A75" s="77" t="s">
        <v>34</v>
      </c>
      <c r="B75" s="77"/>
      <c r="C75" s="77"/>
      <c r="D75" s="77"/>
      <c r="E75" s="77"/>
    </row>
    <row r="76" spans="1:5" ht="11.25" customHeight="1" x14ac:dyDescent="0.2">
      <c r="A76" s="77" t="s">
        <v>24</v>
      </c>
      <c r="B76" s="77"/>
      <c r="C76" s="77"/>
      <c r="D76" s="77"/>
      <c r="E76" s="77"/>
    </row>
    <row r="77" spans="1:5" ht="17.25" customHeight="1" x14ac:dyDescent="0.2">
      <c r="A77" s="77" t="s">
        <v>23</v>
      </c>
      <c r="B77" s="77"/>
      <c r="C77" s="77"/>
      <c r="D77" s="77"/>
      <c r="E77" s="77"/>
    </row>
  </sheetData>
  <mergeCells count="10">
    <mergeCell ref="A1:E1"/>
    <mergeCell ref="A4:A5"/>
    <mergeCell ref="B4:B5"/>
    <mergeCell ref="A77:E77"/>
    <mergeCell ref="A72:E72"/>
    <mergeCell ref="A73:E73"/>
    <mergeCell ref="A75:E75"/>
    <mergeCell ref="A76:E76"/>
    <mergeCell ref="A74:E74"/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7"/>
  <sheetViews>
    <sheetView workbookViewId="0">
      <selection activeCell="G2" sqref="G2"/>
    </sheetView>
  </sheetViews>
  <sheetFormatPr baseColWidth="10" defaultColWidth="11.42578125" defaultRowHeight="15" x14ac:dyDescent="0.25"/>
  <cols>
    <col min="1" max="1" width="15.140625" style="1" customWidth="1"/>
    <col min="2" max="2" width="15" style="1" customWidth="1"/>
    <col min="3" max="5" width="21.7109375" style="1" customWidth="1"/>
    <col min="6" max="16384" width="11.42578125" style="1"/>
  </cols>
  <sheetData>
    <row r="1" spans="1:10" x14ac:dyDescent="0.25">
      <c r="A1" s="23"/>
      <c r="B1" s="23"/>
      <c r="C1" s="23"/>
      <c r="D1" s="23"/>
      <c r="E1" s="23"/>
    </row>
    <row r="2" spans="1:10" ht="26.25" customHeight="1" x14ac:dyDescent="0.25">
      <c r="A2" s="78" t="s">
        <v>46</v>
      </c>
      <c r="B2" s="78"/>
      <c r="C2" s="78"/>
      <c r="D2" s="78"/>
      <c r="E2" s="78"/>
      <c r="F2" s="67"/>
      <c r="G2" s="67"/>
      <c r="H2" s="67"/>
      <c r="I2" s="67"/>
      <c r="J2" s="67"/>
    </row>
    <row r="3" spans="1:10" x14ac:dyDescent="0.25">
      <c r="A3" s="17"/>
      <c r="B3" s="18"/>
      <c r="C3" s="19"/>
      <c r="D3" s="17"/>
      <c r="E3" s="17"/>
    </row>
    <row r="4" spans="1:10" ht="26.25" x14ac:dyDescent="0.25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0" x14ac:dyDescent="0.25">
      <c r="A5" s="76"/>
      <c r="B5" s="76"/>
      <c r="C5" s="28" t="s">
        <v>32</v>
      </c>
      <c r="D5" s="28"/>
      <c r="E5" s="28"/>
    </row>
    <row r="6" spans="1:10" ht="19.149999999999999" customHeight="1" x14ac:dyDescent="0.25">
      <c r="A6" s="30" t="s">
        <v>55</v>
      </c>
      <c r="B6" s="17"/>
      <c r="C6" s="40">
        <f>AVERAGE(C7:C18)</f>
        <v>1419065.9146541499</v>
      </c>
      <c r="D6" s="40">
        <f>AVERAGE(D7:D18)</f>
        <v>406146.58333333331</v>
      </c>
      <c r="E6" s="40">
        <f>AVERAGE(E7:E18)</f>
        <v>142551.16666666666</v>
      </c>
    </row>
    <row r="7" spans="1:10" ht="12" customHeight="1" x14ac:dyDescent="0.25">
      <c r="A7" s="31" t="s">
        <v>2</v>
      </c>
      <c r="B7" s="21" t="s">
        <v>4</v>
      </c>
      <c r="C7" s="40">
        <f>C20+C33+C46+C59</f>
        <v>1556552.3506699977</v>
      </c>
      <c r="D7" s="40">
        <f>D20+D33+D46+D59</f>
        <v>381420</v>
      </c>
      <c r="E7" s="40">
        <f>E20+E33+E46+E59</f>
        <v>140465</v>
      </c>
    </row>
    <row r="8" spans="1:10" ht="12" customHeight="1" x14ac:dyDescent="0.25">
      <c r="A8" s="17"/>
      <c r="B8" s="21" t="s">
        <v>5</v>
      </c>
      <c r="C8" s="40">
        <f t="shared" ref="C8:C18" si="0">C21+C34+C47+C60</f>
        <v>1460114.3159966688</v>
      </c>
      <c r="D8" s="40">
        <f t="shared" ref="D8:E18" si="1">D21+D34+D47+D60</f>
        <v>381938</v>
      </c>
      <c r="E8" s="40">
        <f t="shared" si="1"/>
        <v>140646</v>
      </c>
    </row>
    <row r="9" spans="1:10" ht="12" customHeight="1" x14ac:dyDescent="0.25">
      <c r="A9" s="17"/>
      <c r="B9" s="21" t="s">
        <v>6</v>
      </c>
      <c r="C9" s="40">
        <f t="shared" si="0"/>
        <v>1435532.5914149445</v>
      </c>
      <c r="D9" s="40">
        <f t="shared" si="1"/>
        <v>382572</v>
      </c>
      <c r="E9" s="40">
        <f t="shared" si="1"/>
        <v>141116</v>
      </c>
    </row>
    <row r="10" spans="1:10" ht="12" customHeight="1" x14ac:dyDescent="0.25">
      <c r="A10" s="17"/>
      <c r="B10" s="21" t="s">
        <v>7</v>
      </c>
      <c r="C10" s="40">
        <f t="shared" si="0"/>
        <v>1484109.319403437</v>
      </c>
      <c r="D10" s="40">
        <f t="shared" si="1"/>
        <v>383063</v>
      </c>
      <c r="E10" s="40">
        <f t="shared" si="1"/>
        <v>140994</v>
      </c>
    </row>
    <row r="11" spans="1:10" ht="12" customHeight="1" x14ac:dyDescent="0.25">
      <c r="A11" s="17"/>
      <c r="B11" s="21" t="s">
        <v>8</v>
      </c>
      <c r="C11" s="40">
        <f t="shared" si="0"/>
        <v>1459323.1887349533</v>
      </c>
      <c r="D11" s="40">
        <f t="shared" si="1"/>
        <v>384367</v>
      </c>
      <c r="E11" s="40">
        <f t="shared" si="1"/>
        <v>142081</v>
      </c>
    </row>
    <row r="12" spans="1:10" ht="12" customHeight="1" x14ac:dyDescent="0.25">
      <c r="A12" s="17"/>
      <c r="B12" s="21" t="s">
        <v>9</v>
      </c>
      <c r="C12" s="40">
        <f t="shared" si="0"/>
        <v>1439605.571958513</v>
      </c>
      <c r="D12" s="40">
        <f t="shared" si="1"/>
        <v>385032</v>
      </c>
      <c r="E12" s="40">
        <f t="shared" si="1"/>
        <v>142475</v>
      </c>
    </row>
    <row r="13" spans="1:10" ht="12" customHeight="1" x14ac:dyDescent="0.25">
      <c r="A13" s="17"/>
      <c r="B13" s="21" t="s">
        <v>10</v>
      </c>
      <c r="C13" s="40">
        <f t="shared" si="0"/>
        <v>1419467.7871148461</v>
      </c>
      <c r="D13" s="40">
        <f t="shared" si="1"/>
        <v>386008</v>
      </c>
      <c r="E13" s="40">
        <f t="shared" si="1"/>
        <v>143317</v>
      </c>
    </row>
    <row r="14" spans="1:10" ht="12" customHeight="1" x14ac:dyDescent="0.25">
      <c r="A14" s="17"/>
      <c r="B14" s="21" t="s">
        <v>11</v>
      </c>
      <c r="C14" s="40">
        <f t="shared" si="0"/>
        <v>1352047.8461654931</v>
      </c>
      <c r="D14" s="40">
        <f t="shared" si="1"/>
        <v>512757</v>
      </c>
      <c r="E14" s="40">
        <f t="shared" si="1"/>
        <v>143007</v>
      </c>
    </row>
    <row r="15" spans="1:10" ht="12" customHeight="1" x14ac:dyDescent="0.25">
      <c r="A15" s="17"/>
      <c r="B15" s="21" t="s">
        <v>12</v>
      </c>
      <c r="C15" s="40">
        <f t="shared" si="0"/>
        <v>1317707.6235899765</v>
      </c>
      <c r="D15" s="40">
        <f t="shared" si="1"/>
        <v>513322</v>
      </c>
      <c r="E15" s="40">
        <f t="shared" si="1"/>
        <v>143622</v>
      </c>
    </row>
    <row r="16" spans="1:10" ht="12" customHeight="1" x14ac:dyDescent="0.25">
      <c r="A16" s="17"/>
      <c r="B16" s="21" t="s">
        <v>13</v>
      </c>
      <c r="C16" s="40">
        <f t="shared" si="0"/>
        <v>1346456.9611628433</v>
      </c>
      <c r="D16" s="40">
        <f t="shared" si="1"/>
        <v>387525</v>
      </c>
      <c r="E16" s="40">
        <f t="shared" si="1"/>
        <v>144736</v>
      </c>
    </row>
    <row r="17" spans="1:5" ht="12" customHeight="1" x14ac:dyDescent="0.25">
      <c r="A17" s="17"/>
      <c r="B17" s="21" t="s">
        <v>14</v>
      </c>
      <c r="C17" s="40">
        <f t="shared" si="0"/>
        <v>1355590.8850026499</v>
      </c>
      <c r="D17" s="40">
        <f t="shared" si="1"/>
        <v>387739</v>
      </c>
      <c r="E17" s="40">
        <f t="shared" si="1"/>
        <v>145292</v>
      </c>
    </row>
    <row r="18" spans="1:5" ht="12" customHeight="1" x14ac:dyDescent="0.25">
      <c r="A18" s="17"/>
      <c r="B18" s="21" t="s">
        <v>15</v>
      </c>
      <c r="C18" s="40">
        <f t="shared" si="0"/>
        <v>1402282.5346354758</v>
      </c>
      <c r="D18" s="40">
        <f t="shared" si="1"/>
        <v>388016</v>
      </c>
      <c r="E18" s="40">
        <f t="shared" si="1"/>
        <v>142863</v>
      </c>
    </row>
    <row r="19" spans="1:5" ht="27.6" customHeight="1" x14ac:dyDescent="0.25">
      <c r="A19" s="30" t="s">
        <v>16</v>
      </c>
      <c r="B19" s="30" t="s">
        <v>22</v>
      </c>
      <c r="C19" s="48">
        <f>AVERAGE(C20:C31)</f>
        <v>504652.44656421128</v>
      </c>
      <c r="D19" s="48">
        <f>AVERAGE(D20:D31)</f>
        <v>107652.33333333333</v>
      </c>
      <c r="E19" s="48">
        <f>AVERAGE(E20:E31)</f>
        <v>54182.166666666664</v>
      </c>
    </row>
    <row r="20" spans="1:5" x14ac:dyDescent="0.25">
      <c r="A20" s="17"/>
      <c r="B20" s="21" t="s">
        <v>4</v>
      </c>
      <c r="C20" s="42">
        <f>142.67/264.18*1000000</f>
        <v>540048.45181315765</v>
      </c>
      <c r="D20" s="43">
        <v>100979</v>
      </c>
      <c r="E20" s="43">
        <v>53881</v>
      </c>
    </row>
    <row r="21" spans="1:5" x14ac:dyDescent="0.25">
      <c r="A21" s="17"/>
      <c r="B21" s="21" t="s">
        <v>5</v>
      </c>
      <c r="C21" s="42">
        <f>131.112/264.18*1000000</f>
        <v>496297.9786509198</v>
      </c>
      <c r="D21" s="43">
        <v>101380</v>
      </c>
      <c r="E21" s="43">
        <v>53937</v>
      </c>
    </row>
    <row r="22" spans="1:5" x14ac:dyDescent="0.25">
      <c r="A22" s="17"/>
      <c r="B22" s="21" t="s">
        <v>6</v>
      </c>
      <c r="C22" s="42">
        <f>130.038/264.18*1000000</f>
        <v>492232.56870315695</v>
      </c>
      <c r="D22" s="43">
        <v>101591</v>
      </c>
      <c r="E22" s="43">
        <v>53964</v>
      </c>
    </row>
    <row r="23" spans="1:5" x14ac:dyDescent="0.25">
      <c r="A23" s="17"/>
      <c r="B23" s="21" t="s">
        <v>7</v>
      </c>
      <c r="C23" s="42">
        <f>140.84/264.18*1000000</f>
        <v>533121.35665076843</v>
      </c>
      <c r="D23" s="43">
        <v>101852</v>
      </c>
      <c r="E23" s="43">
        <v>53966</v>
      </c>
    </row>
    <row r="24" spans="1:5" x14ac:dyDescent="0.25">
      <c r="A24" s="17"/>
      <c r="B24" s="21" t="s">
        <v>8</v>
      </c>
      <c r="C24" s="42">
        <f>138.147/264.18*1000000</f>
        <v>522927.54939813755</v>
      </c>
      <c r="D24" s="43">
        <v>102622</v>
      </c>
      <c r="E24" s="43">
        <v>54245</v>
      </c>
    </row>
    <row r="25" spans="1:5" x14ac:dyDescent="0.25">
      <c r="A25" s="17"/>
      <c r="B25" s="21" t="s">
        <v>9</v>
      </c>
      <c r="C25" s="42">
        <f>137.695/264.18*1000000</f>
        <v>521216.59474600648</v>
      </c>
      <c r="D25" s="43">
        <v>102909</v>
      </c>
      <c r="E25" s="43">
        <v>54277</v>
      </c>
    </row>
    <row r="26" spans="1:5" x14ac:dyDescent="0.25">
      <c r="A26" s="17"/>
      <c r="B26" s="21" t="s">
        <v>10</v>
      </c>
      <c r="C26" s="42">
        <f>133.628/264.18*1000000</f>
        <v>505821.78817472933</v>
      </c>
      <c r="D26" s="43">
        <v>102968</v>
      </c>
      <c r="E26" s="43">
        <v>54282</v>
      </c>
    </row>
    <row r="27" spans="1:5" x14ac:dyDescent="0.25">
      <c r="A27" s="17"/>
      <c r="B27" s="21" t="s">
        <v>11</v>
      </c>
      <c r="C27" s="42">
        <f>135.742/264.18*1000000</f>
        <v>513823.90794155496</v>
      </c>
      <c r="D27" s="43">
        <v>134619</v>
      </c>
      <c r="E27" s="43">
        <v>54324</v>
      </c>
    </row>
    <row r="28" spans="1:5" x14ac:dyDescent="0.25">
      <c r="A28" s="17"/>
      <c r="B28" s="21" t="s">
        <v>12</v>
      </c>
      <c r="C28" s="42">
        <f>121.158/264.18*1000000</f>
        <v>458619.12332500564</v>
      </c>
      <c r="D28" s="43">
        <v>134624</v>
      </c>
      <c r="E28" s="43">
        <v>54316</v>
      </c>
    </row>
    <row r="29" spans="1:5" x14ac:dyDescent="0.25">
      <c r="A29" s="17"/>
      <c r="B29" s="21" t="s">
        <v>13</v>
      </c>
      <c r="C29" s="42">
        <f>129.123/264.18*1000000</f>
        <v>488769.02112196223</v>
      </c>
      <c r="D29" s="43">
        <v>103027</v>
      </c>
      <c r="E29" s="43">
        <v>54324</v>
      </c>
    </row>
    <row r="30" spans="1:5" x14ac:dyDescent="0.25">
      <c r="A30" s="17"/>
      <c r="B30" s="21" t="s">
        <v>14</v>
      </c>
      <c r="C30" s="42">
        <f>128.712/264.18*1000000</f>
        <v>487213.26368385187</v>
      </c>
      <c r="D30" s="43">
        <v>102236</v>
      </c>
      <c r="E30" s="43">
        <v>54315</v>
      </c>
    </row>
    <row r="31" spans="1:5" x14ac:dyDescent="0.25">
      <c r="A31" s="17"/>
      <c r="B31" s="21" t="s">
        <v>15</v>
      </c>
      <c r="C31" s="42">
        <f>130.964/264.18*1000000</f>
        <v>495737.75456128392</v>
      </c>
      <c r="D31" s="43">
        <v>103021</v>
      </c>
      <c r="E31" s="43">
        <v>54355</v>
      </c>
    </row>
    <row r="32" spans="1:5" ht="24" customHeight="1" x14ac:dyDescent="0.25">
      <c r="A32" s="30" t="s">
        <v>20</v>
      </c>
      <c r="B32" s="30" t="s">
        <v>22</v>
      </c>
      <c r="C32" s="40">
        <f>AVERAGE(C33:C44)</f>
        <v>373408.59767330351</v>
      </c>
      <c r="D32" s="40">
        <f>AVERAGE(D33:D44)</f>
        <v>135445.33333333334</v>
      </c>
      <c r="E32" s="40">
        <f>AVERAGE(E33:E44)</f>
        <v>55659.5</v>
      </c>
    </row>
    <row r="33" spans="1:5" x14ac:dyDescent="0.25">
      <c r="A33" s="23"/>
      <c r="B33" s="21" t="s">
        <v>4</v>
      </c>
      <c r="C33" s="42">
        <f>119.295/264.18*1000000</f>
        <v>451567.11333181919</v>
      </c>
      <c r="D33" s="43">
        <v>118899</v>
      </c>
      <c r="E33" s="43">
        <v>55177</v>
      </c>
    </row>
    <row r="34" spans="1:5" x14ac:dyDescent="0.25">
      <c r="A34" s="23"/>
      <c r="B34" s="21" t="s">
        <v>5</v>
      </c>
      <c r="C34" s="42">
        <f>109.256/264.18*1000000</f>
        <v>413566.50768415479</v>
      </c>
      <c r="D34" s="43">
        <v>118993</v>
      </c>
      <c r="E34" s="43">
        <v>55290</v>
      </c>
    </row>
    <row r="35" spans="1:5" x14ac:dyDescent="0.25">
      <c r="A35" s="23"/>
      <c r="B35" s="21" t="s">
        <v>6</v>
      </c>
      <c r="C35" s="42">
        <f>99.529/264.18*1000000</f>
        <v>376746.9149822091</v>
      </c>
      <c r="D35" s="43">
        <v>119246</v>
      </c>
      <c r="E35" s="43">
        <v>55518</v>
      </c>
    </row>
    <row r="36" spans="1:5" x14ac:dyDescent="0.25">
      <c r="A36" s="23"/>
      <c r="B36" s="21" t="s">
        <v>7</v>
      </c>
      <c r="C36" s="42">
        <f>102.964/264.18*1000000</f>
        <v>389749.413278825</v>
      </c>
      <c r="D36" s="43">
        <v>119206</v>
      </c>
      <c r="E36" s="43">
        <v>55546</v>
      </c>
    </row>
    <row r="37" spans="1:5" x14ac:dyDescent="0.25">
      <c r="A37" s="23"/>
      <c r="B37" s="21" t="s">
        <v>8</v>
      </c>
      <c r="C37" s="42">
        <f>101.1/264.18*1000000</f>
        <v>382693.6179877356</v>
      </c>
      <c r="D37" s="43">
        <v>119305</v>
      </c>
      <c r="E37" s="43">
        <v>55557</v>
      </c>
    </row>
    <row r="38" spans="1:5" x14ac:dyDescent="0.25">
      <c r="A38" s="23"/>
      <c r="B38" s="21" t="s">
        <v>9</v>
      </c>
      <c r="C38" s="42">
        <f>100.539/264.18*1000000</f>
        <v>380570.06586418353</v>
      </c>
      <c r="D38" s="43">
        <v>119351</v>
      </c>
      <c r="E38" s="43">
        <v>55600</v>
      </c>
    </row>
    <row r="39" spans="1:5" x14ac:dyDescent="0.25">
      <c r="A39" s="23"/>
      <c r="B39" s="21" t="s">
        <v>10</v>
      </c>
      <c r="C39" s="42">
        <f>97.927/264.18*1000000</f>
        <v>370682.8677416913</v>
      </c>
      <c r="D39" s="43">
        <v>119737</v>
      </c>
      <c r="E39" s="43">
        <v>55922</v>
      </c>
    </row>
    <row r="40" spans="1:5" x14ac:dyDescent="0.25">
      <c r="A40" s="23"/>
      <c r="B40" s="21" t="s">
        <v>11</v>
      </c>
      <c r="C40" s="42">
        <f>91.607/264.18*1000000</f>
        <v>346759.7849950791</v>
      </c>
      <c r="D40" s="43">
        <v>214718</v>
      </c>
      <c r="E40" s="43">
        <v>55934</v>
      </c>
    </row>
    <row r="41" spans="1:5" x14ac:dyDescent="0.25">
      <c r="A41" s="23"/>
      <c r="B41" s="21" t="s">
        <v>12</v>
      </c>
      <c r="C41" s="42">
        <f>87.943/264.18*1000000</f>
        <v>332890.45347868872</v>
      </c>
      <c r="D41" s="43">
        <v>215211</v>
      </c>
      <c r="E41" s="43">
        <v>56101</v>
      </c>
    </row>
    <row r="42" spans="1:5" x14ac:dyDescent="0.25">
      <c r="A42" s="23"/>
      <c r="B42" s="21" t="s">
        <v>13</v>
      </c>
      <c r="C42" s="42">
        <f>88.064/264.18*1000000</f>
        <v>333348.47452494508</v>
      </c>
      <c r="D42" s="43">
        <v>119936</v>
      </c>
      <c r="E42" s="43">
        <v>56214</v>
      </c>
    </row>
    <row r="43" spans="1:5" x14ac:dyDescent="0.25">
      <c r="A43" s="23"/>
      <c r="B43" s="21" t="s">
        <v>14</v>
      </c>
      <c r="C43" s="42">
        <f>87.46/264.18*1000000</f>
        <v>331062.15459156636</v>
      </c>
      <c r="D43" s="43">
        <v>120768</v>
      </c>
      <c r="E43" s="43">
        <v>56700</v>
      </c>
    </row>
    <row r="44" spans="1:5" x14ac:dyDescent="0.25">
      <c r="A44" s="23"/>
      <c r="B44" s="21" t="s">
        <v>15</v>
      </c>
      <c r="C44" s="42">
        <f>98.081/264.18*1000000</f>
        <v>371265.80361874477</v>
      </c>
      <c r="D44" s="43">
        <v>119974</v>
      </c>
      <c r="E44" s="43">
        <v>54355</v>
      </c>
    </row>
    <row r="45" spans="1:5" ht="24.75" customHeight="1" x14ac:dyDescent="0.25">
      <c r="A45" s="30" t="s">
        <v>18</v>
      </c>
      <c r="B45" s="30" t="s">
        <v>22</v>
      </c>
      <c r="C45" s="40">
        <f>AVERAGE(C46:C57)</f>
        <v>396532.98256239435</v>
      </c>
      <c r="D45" s="40">
        <f>AVERAGE(D46:D57)</f>
        <v>122130</v>
      </c>
      <c r="E45" s="40">
        <f>AVERAGE(E46:E57)</f>
        <v>25125.5</v>
      </c>
    </row>
    <row r="46" spans="1:5" x14ac:dyDescent="0.25">
      <c r="A46" s="23"/>
      <c r="B46" s="21" t="s">
        <v>4</v>
      </c>
      <c r="C46" s="42">
        <f>113.025/264.18*1000000</f>
        <v>427833.29548035434</v>
      </c>
      <c r="D46" s="43">
        <v>120912</v>
      </c>
      <c r="E46" s="43">
        <v>23991</v>
      </c>
    </row>
    <row r="47" spans="1:5" x14ac:dyDescent="0.25">
      <c r="A47" s="23"/>
      <c r="B47" s="21" t="s">
        <v>5</v>
      </c>
      <c r="C47" s="42">
        <f>110.61/264.18*1000000</f>
        <v>418691.80104474217</v>
      </c>
      <c r="D47" s="43">
        <v>120929</v>
      </c>
      <c r="E47" s="43">
        <v>23994</v>
      </c>
    </row>
    <row r="48" spans="1:5" x14ac:dyDescent="0.25">
      <c r="A48" s="23"/>
      <c r="B48" s="21" t="s">
        <v>6</v>
      </c>
      <c r="C48" s="42">
        <f>113.381/264.18*1000000</f>
        <v>429180.8615338027</v>
      </c>
      <c r="D48" s="43">
        <v>121086</v>
      </c>
      <c r="E48" s="43">
        <v>24179</v>
      </c>
    </row>
    <row r="49" spans="1:5" x14ac:dyDescent="0.25">
      <c r="A49" s="23"/>
      <c r="B49" s="21" t="s">
        <v>7</v>
      </c>
      <c r="C49" s="42">
        <f>111.307/264.18*1000000</f>
        <v>421330.15368309483</v>
      </c>
      <c r="D49" s="43">
        <v>121206</v>
      </c>
      <c r="E49" s="43">
        <v>24300</v>
      </c>
    </row>
    <row r="50" spans="1:5" x14ac:dyDescent="0.25">
      <c r="A50" s="23"/>
      <c r="B50" s="21" t="s">
        <v>8</v>
      </c>
      <c r="C50" s="42">
        <f>109.914/264.18*1000000</f>
        <v>416057.23370429256</v>
      </c>
      <c r="D50" s="43">
        <v>121541</v>
      </c>
      <c r="E50" s="43">
        <v>24598</v>
      </c>
    </row>
    <row r="51" spans="1:5" x14ac:dyDescent="0.25">
      <c r="A51" s="23"/>
      <c r="B51" s="21" t="s">
        <v>9</v>
      </c>
      <c r="C51" s="42">
        <f>105.058/264.18*1000000</f>
        <v>397675.82708759181</v>
      </c>
      <c r="D51" s="43">
        <v>121824</v>
      </c>
      <c r="E51" s="43">
        <v>24868</v>
      </c>
    </row>
    <row r="52" spans="1:5" x14ac:dyDescent="0.25">
      <c r="A52" s="23"/>
      <c r="B52" s="21" t="s">
        <v>10</v>
      </c>
      <c r="C52" s="42">
        <f>104.576/264.18*1000000</f>
        <v>395851.31349837227</v>
      </c>
      <c r="D52" s="43">
        <v>122309</v>
      </c>
      <c r="E52" s="43">
        <v>25351</v>
      </c>
    </row>
    <row r="53" spans="1:5" x14ac:dyDescent="0.25">
      <c r="A53" s="23"/>
      <c r="B53" s="21" t="s">
        <v>11</v>
      </c>
      <c r="C53" s="42">
        <f>92.172/264.18*1000000</f>
        <v>348898.47831024299</v>
      </c>
      <c r="D53" s="43">
        <v>122394</v>
      </c>
      <c r="E53" s="43">
        <v>25368</v>
      </c>
    </row>
    <row r="54" spans="1:5" x14ac:dyDescent="0.25">
      <c r="A54" s="23"/>
      <c r="B54" s="21" t="s">
        <v>12</v>
      </c>
      <c r="C54" s="42">
        <f>96.846/264.18*1000000</f>
        <v>366590.96070860774</v>
      </c>
      <c r="D54" s="43">
        <v>122435</v>
      </c>
      <c r="E54" s="43">
        <v>25398</v>
      </c>
    </row>
    <row r="55" spans="1:5" x14ac:dyDescent="0.25">
      <c r="A55" s="23"/>
      <c r="B55" s="21" t="s">
        <v>13</v>
      </c>
      <c r="C55" s="42">
        <f>97.793/264.18*1000000</f>
        <v>370175.63782269665</v>
      </c>
      <c r="D55" s="43">
        <v>123459</v>
      </c>
      <c r="E55" s="43">
        <v>26360</v>
      </c>
    </row>
    <row r="56" spans="1:5" x14ac:dyDescent="0.25">
      <c r="A56" s="23"/>
      <c r="B56" s="21" t="s">
        <v>14</v>
      </c>
      <c r="C56" s="42">
        <f>102.161/264.18*1000000</f>
        <v>386709.81906276027</v>
      </c>
      <c r="D56" s="43">
        <v>123611</v>
      </c>
      <c r="E56" s="43">
        <v>26425</v>
      </c>
    </row>
    <row r="57" spans="1:5" x14ac:dyDescent="0.25">
      <c r="A57" s="23"/>
      <c r="B57" s="21" t="s">
        <v>15</v>
      </c>
      <c r="C57" s="42">
        <f>100.23/264.18*1000000</f>
        <v>379400.40881217353</v>
      </c>
      <c r="D57" s="43">
        <v>123854</v>
      </c>
      <c r="E57" s="43">
        <v>26674</v>
      </c>
    </row>
    <row r="58" spans="1:5" ht="24" customHeight="1" x14ac:dyDescent="0.25">
      <c r="A58" s="30" t="s">
        <v>19</v>
      </c>
      <c r="B58" s="30" t="s">
        <v>22</v>
      </c>
      <c r="C58" s="40">
        <f>AVERAGE(C59:C70)</f>
        <v>144471.88785424081</v>
      </c>
      <c r="D58" s="40">
        <f>AVERAGE(D59:D70)</f>
        <v>40918.916666666664</v>
      </c>
      <c r="E58" s="40">
        <f>AVERAGE(E59:E70)</f>
        <v>7584</v>
      </c>
    </row>
    <row r="59" spans="1:5" ht="16.5" customHeight="1" x14ac:dyDescent="0.25">
      <c r="A59" s="23"/>
      <c r="B59" s="21" t="s">
        <v>4</v>
      </c>
      <c r="C59" s="42">
        <f>36.22/264.18*1000000</f>
        <v>137103.49004466651</v>
      </c>
      <c r="D59" s="43">
        <v>40630</v>
      </c>
      <c r="E59" s="43">
        <v>7416</v>
      </c>
    </row>
    <row r="60" spans="1:5" x14ac:dyDescent="0.25">
      <c r="A60" s="23"/>
      <c r="B60" s="21" t="s">
        <v>5</v>
      </c>
      <c r="C60" s="42">
        <f>34.755/264.18*1000000</f>
        <v>131558.02861685216</v>
      </c>
      <c r="D60" s="43">
        <v>40636</v>
      </c>
      <c r="E60" s="43">
        <v>7425</v>
      </c>
    </row>
    <row r="61" spans="1:5" x14ac:dyDescent="0.25">
      <c r="A61" s="23"/>
      <c r="B61" s="21" t="s">
        <v>6</v>
      </c>
      <c r="C61" s="42">
        <f>36.291/264.18*1000000</f>
        <v>137372.2461957756</v>
      </c>
      <c r="D61" s="43">
        <v>40649</v>
      </c>
      <c r="E61" s="43">
        <v>7455</v>
      </c>
    </row>
    <row r="62" spans="1:5" x14ac:dyDescent="0.25">
      <c r="A62" s="23"/>
      <c r="B62" s="21" t="s">
        <v>7</v>
      </c>
      <c r="C62" s="42">
        <f>36.961/264.18*1000000</f>
        <v>139908.39579074873</v>
      </c>
      <c r="D62" s="43">
        <v>40799</v>
      </c>
      <c r="E62" s="43">
        <v>7182</v>
      </c>
    </row>
    <row r="63" spans="1:5" x14ac:dyDescent="0.25">
      <c r="A63" s="23"/>
      <c r="B63" s="21" t="s">
        <v>8</v>
      </c>
      <c r="C63" s="42">
        <f>36.363/264.18*1000000</f>
        <v>137644.78764478763</v>
      </c>
      <c r="D63" s="43">
        <v>40899</v>
      </c>
      <c r="E63" s="43">
        <v>7681</v>
      </c>
    </row>
    <row r="64" spans="1:5" x14ac:dyDescent="0.25">
      <c r="A64" s="23"/>
      <c r="B64" s="21" t="s">
        <v>9</v>
      </c>
      <c r="C64" s="42">
        <f>37.023/264.18*1000000</f>
        <v>140143.08426073132</v>
      </c>
      <c r="D64" s="43">
        <v>40948</v>
      </c>
      <c r="E64" s="43">
        <v>7730</v>
      </c>
    </row>
    <row r="65" spans="1:5" x14ac:dyDescent="0.25">
      <c r="A65" s="23"/>
      <c r="B65" s="21" t="s">
        <v>10</v>
      </c>
      <c r="C65" s="42">
        <f>38.864/264.18*1000000</f>
        <v>147111.81770005298</v>
      </c>
      <c r="D65" s="43">
        <v>40994</v>
      </c>
      <c r="E65" s="43">
        <v>7762</v>
      </c>
    </row>
    <row r="66" spans="1:5" x14ac:dyDescent="0.25">
      <c r="A66" s="23"/>
      <c r="B66" s="21" t="s">
        <v>11</v>
      </c>
      <c r="C66" s="42">
        <f>37.663/264.18*1000000</f>
        <v>142565.67491861607</v>
      </c>
      <c r="D66" s="43">
        <v>41026</v>
      </c>
      <c r="E66" s="43">
        <v>7381</v>
      </c>
    </row>
    <row r="67" spans="1:5" x14ac:dyDescent="0.25">
      <c r="A67" s="23"/>
      <c r="B67" s="21" t="s">
        <v>12</v>
      </c>
      <c r="C67" s="42">
        <f>42.165/264.18*1000000</f>
        <v>159607.08607767429</v>
      </c>
      <c r="D67" s="43">
        <v>41052</v>
      </c>
      <c r="E67" s="43">
        <v>7807</v>
      </c>
    </row>
    <row r="68" spans="1:5" x14ac:dyDescent="0.25">
      <c r="A68" s="23"/>
      <c r="B68" s="21" t="s">
        <v>13</v>
      </c>
      <c r="C68" s="42">
        <f>40.727/264.18*1000000</f>
        <v>154163.82769323944</v>
      </c>
      <c r="D68" s="43">
        <v>41103</v>
      </c>
      <c r="E68" s="43">
        <v>7838</v>
      </c>
    </row>
    <row r="69" spans="1:5" x14ac:dyDescent="0.25">
      <c r="A69" s="23"/>
      <c r="B69" s="21" t="s">
        <v>14</v>
      </c>
      <c r="C69" s="42">
        <f>39.787/264.18*1000000</f>
        <v>150605.64766447118</v>
      </c>
      <c r="D69" s="43">
        <v>41124</v>
      </c>
      <c r="E69" s="43">
        <v>7852</v>
      </c>
    </row>
    <row r="70" spans="1:5" ht="18.75" customHeight="1" x14ac:dyDescent="0.25">
      <c r="A70" s="25"/>
      <c r="B70" s="26" t="s">
        <v>15</v>
      </c>
      <c r="C70" s="44">
        <f>41.18/264.18*1000000</f>
        <v>155878.56764327351</v>
      </c>
      <c r="D70" s="45">
        <v>41167</v>
      </c>
      <c r="E70" s="45">
        <v>7479</v>
      </c>
    </row>
    <row r="71" spans="1:5" ht="12" customHeight="1" x14ac:dyDescent="0.25">
      <c r="A71" s="47" t="s">
        <v>63</v>
      </c>
      <c r="B71" s="21"/>
      <c r="C71" s="35"/>
      <c r="D71" s="22"/>
      <c r="E71" s="22"/>
    </row>
    <row r="72" spans="1:5" ht="17.25" customHeight="1" x14ac:dyDescent="0.25">
      <c r="A72" s="77" t="s">
        <v>50</v>
      </c>
      <c r="B72" s="77"/>
      <c r="C72" s="77"/>
      <c r="D72" s="77"/>
      <c r="E72" s="77"/>
    </row>
    <row r="73" spans="1:5" ht="11.25" customHeight="1" x14ac:dyDescent="0.25">
      <c r="A73" s="77" t="s">
        <v>39</v>
      </c>
      <c r="B73" s="77"/>
      <c r="C73" s="77"/>
      <c r="D73" s="77"/>
      <c r="E73" s="77"/>
    </row>
    <row r="74" spans="1:5" ht="11.25" customHeight="1" x14ac:dyDescent="0.25">
      <c r="A74" s="77" t="s">
        <v>40</v>
      </c>
      <c r="B74" s="77"/>
      <c r="C74" s="77"/>
      <c r="D74" s="77"/>
      <c r="E74" s="77"/>
    </row>
    <row r="75" spans="1:5" ht="11.25" customHeight="1" x14ac:dyDescent="0.25">
      <c r="A75" s="77" t="s">
        <v>34</v>
      </c>
      <c r="B75" s="77"/>
      <c r="C75" s="77"/>
      <c r="D75" s="77"/>
      <c r="E75" s="77"/>
    </row>
    <row r="76" spans="1:5" ht="11.25" customHeight="1" x14ac:dyDescent="0.25">
      <c r="A76" s="77" t="s">
        <v>24</v>
      </c>
      <c r="B76" s="77"/>
      <c r="C76" s="77"/>
      <c r="D76" s="77"/>
      <c r="E76" s="77"/>
    </row>
    <row r="77" spans="1:5" ht="17.25" customHeight="1" x14ac:dyDescent="0.25">
      <c r="A77" s="77" t="s">
        <v>23</v>
      </c>
      <c r="B77" s="77"/>
      <c r="C77" s="77"/>
      <c r="D77" s="77"/>
      <c r="E77" s="77"/>
    </row>
  </sheetData>
  <mergeCells count="9">
    <mergeCell ref="A4:A5"/>
    <mergeCell ref="B4:B5"/>
    <mergeCell ref="A2:E2"/>
    <mergeCell ref="A77:E77"/>
    <mergeCell ref="A72:E72"/>
    <mergeCell ref="A73:E73"/>
    <mergeCell ref="A74:E74"/>
    <mergeCell ref="A75:E75"/>
    <mergeCell ref="A76:E76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7"/>
  <sheetViews>
    <sheetView workbookViewId="0">
      <selection activeCell="H11" sqref="H11"/>
    </sheetView>
  </sheetViews>
  <sheetFormatPr baseColWidth="10" defaultColWidth="11.42578125" defaultRowHeight="15" x14ac:dyDescent="0.25"/>
  <cols>
    <col min="1" max="1" width="14.85546875" style="1" customWidth="1"/>
    <col min="2" max="2" width="17.140625" style="1" customWidth="1"/>
    <col min="3" max="5" width="20" style="1" customWidth="1"/>
    <col min="6" max="16384" width="11.42578125" style="1"/>
  </cols>
  <sheetData>
    <row r="1" spans="1:10" x14ac:dyDescent="0.25">
      <c r="A1" s="74"/>
      <c r="B1" s="74"/>
      <c r="C1" s="74"/>
      <c r="D1" s="74"/>
      <c r="E1" s="74"/>
    </row>
    <row r="2" spans="1:10" ht="27.75" customHeight="1" x14ac:dyDescent="0.25">
      <c r="A2" s="78" t="s">
        <v>45</v>
      </c>
      <c r="B2" s="78"/>
      <c r="C2" s="78"/>
      <c r="D2" s="78"/>
      <c r="E2" s="78"/>
      <c r="F2" s="67"/>
      <c r="G2" s="67"/>
      <c r="H2" s="67"/>
      <c r="I2" s="67"/>
      <c r="J2" s="67"/>
    </row>
    <row r="3" spans="1:10" x14ac:dyDescent="0.25">
      <c r="A3" s="17"/>
      <c r="B3" s="18"/>
      <c r="C3" s="19"/>
      <c r="D3" s="17"/>
      <c r="E3" s="17"/>
    </row>
    <row r="4" spans="1:10" ht="38.25" x14ac:dyDescent="0.25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0" x14ac:dyDescent="0.25">
      <c r="A5" s="76"/>
      <c r="B5" s="76"/>
      <c r="C5" s="28" t="s">
        <v>32</v>
      </c>
      <c r="D5" s="28"/>
      <c r="E5" s="28"/>
    </row>
    <row r="6" spans="1:10" ht="19.5" customHeight="1" x14ac:dyDescent="0.25">
      <c r="A6" s="30" t="s">
        <v>28</v>
      </c>
      <c r="B6" s="39" t="s">
        <v>55</v>
      </c>
      <c r="C6" s="40">
        <f>AVERAGE(C7:C18)</f>
        <v>1430254.6243722716</v>
      </c>
      <c r="D6" s="40">
        <f>AVERAGE(D7:D18)</f>
        <v>391463.66666666669</v>
      </c>
      <c r="E6" s="40">
        <f>AVERAGE(E7:E18)</f>
        <v>148711.25</v>
      </c>
    </row>
    <row r="7" spans="1:10" ht="14.25" customHeight="1" x14ac:dyDescent="0.25">
      <c r="A7" s="31" t="s">
        <v>2</v>
      </c>
      <c r="B7" s="21" t="s">
        <v>4</v>
      </c>
      <c r="C7" s="40">
        <f t="shared" ref="C7:E18" si="0">C20+C33+C46+C59</f>
        <v>1382315.0881974411</v>
      </c>
      <c r="D7" s="40">
        <f>D20+D33+D46+D59</f>
        <v>389295</v>
      </c>
      <c r="E7" s="40">
        <f>E20+E33+E46+E59</f>
        <v>146787</v>
      </c>
    </row>
    <row r="8" spans="1:10" x14ac:dyDescent="0.25">
      <c r="A8" s="17"/>
      <c r="B8" s="21" t="s">
        <v>5</v>
      </c>
      <c r="C8" s="40">
        <f t="shared" si="0"/>
        <v>1369551.0636687106</v>
      </c>
      <c r="D8" s="40">
        <f t="shared" si="0"/>
        <v>389345</v>
      </c>
      <c r="E8" s="40">
        <f t="shared" si="0"/>
        <v>147313</v>
      </c>
    </row>
    <row r="9" spans="1:10" x14ac:dyDescent="0.25">
      <c r="A9" s="17"/>
      <c r="B9" s="21" t="s">
        <v>6</v>
      </c>
      <c r="C9" s="40">
        <f t="shared" si="0"/>
        <v>1402899.5381936561</v>
      </c>
      <c r="D9" s="40">
        <f t="shared" si="0"/>
        <v>389553</v>
      </c>
      <c r="E9" s="40">
        <f t="shared" si="0"/>
        <v>147385</v>
      </c>
    </row>
    <row r="10" spans="1:10" x14ac:dyDescent="0.25">
      <c r="A10" s="17"/>
      <c r="B10" s="21" t="s">
        <v>7</v>
      </c>
      <c r="C10" s="40">
        <f t="shared" si="0"/>
        <v>1380346.7332879095</v>
      </c>
      <c r="D10" s="40">
        <f t="shared" si="0"/>
        <v>389612</v>
      </c>
      <c r="E10" s="40">
        <f t="shared" si="0"/>
        <v>147412</v>
      </c>
    </row>
    <row r="11" spans="1:10" x14ac:dyDescent="0.25">
      <c r="A11" s="17"/>
      <c r="B11" s="21" t="s">
        <v>8</v>
      </c>
      <c r="C11" s="40">
        <f t="shared" si="0"/>
        <v>1325732.4551442198</v>
      </c>
      <c r="D11" s="40">
        <f t="shared" si="0"/>
        <v>389749</v>
      </c>
      <c r="E11" s="40">
        <f t="shared" si="0"/>
        <v>147428</v>
      </c>
    </row>
    <row r="12" spans="1:10" x14ac:dyDescent="0.25">
      <c r="A12" s="17"/>
      <c r="B12" s="21" t="s">
        <v>9</v>
      </c>
      <c r="C12" s="40">
        <f t="shared" si="0"/>
        <v>1304947.3843591493</v>
      </c>
      <c r="D12" s="40">
        <f t="shared" si="0"/>
        <v>389827</v>
      </c>
      <c r="E12" s="40">
        <f t="shared" si="0"/>
        <v>147441</v>
      </c>
    </row>
    <row r="13" spans="1:10" x14ac:dyDescent="0.25">
      <c r="A13" s="17"/>
      <c r="B13" s="21" t="s">
        <v>10</v>
      </c>
      <c r="C13" s="40">
        <f t="shared" si="0"/>
        <v>1354364.4484820955</v>
      </c>
      <c r="D13" s="40">
        <f t="shared" si="0"/>
        <v>390857</v>
      </c>
      <c r="E13" s="40">
        <f t="shared" si="0"/>
        <v>148409</v>
      </c>
    </row>
    <row r="14" spans="1:10" x14ac:dyDescent="0.25">
      <c r="A14" s="17"/>
      <c r="B14" s="21" t="s">
        <v>11</v>
      </c>
      <c r="C14" s="40">
        <f t="shared" si="0"/>
        <v>1502615.6408509351</v>
      </c>
      <c r="D14" s="40">
        <f t="shared" si="0"/>
        <v>392503</v>
      </c>
      <c r="E14" s="40">
        <f t="shared" si="0"/>
        <v>149714</v>
      </c>
    </row>
    <row r="15" spans="1:10" x14ac:dyDescent="0.25">
      <c r="A15" s="17"/>
      <c r="B15" s="21" t="s">
        <v>12</v>
      </c>
      <c r="C15" s="40">
        <f t="shared" si="0"/>
        <v>1555443.258384435</v>
      </c>
      <c r="D15" s="40">
        <f t="shared" si="0"/>
        <v>393306</v>
      </c>
      <c r="E15" s="40">
        <f t="shared" si="0"/>
        <v>150436</v>
      </c>
    </row>
    <row r="16" spans="1:10" x14ac:dyDescent="0.25">
      <c r="A16" s="17"/>
      <c r="B16" s="21" t="s">
        <v>13</v>
      </c>
      <c r="C16" s="40">
        <f t="shared" si="0"/>
        <v>1535861.9123325006</v>
      </c>
      <c r="D16" s="40">
        <f t="shared" si="0"/>
        <v>393879</v>
      </c>
      <c r="E16" s="40">
        <f t="shared" si="0"/>
        <v>150900</v>
      </c>
    </row>
    <row r="17" spans="1:5" x14ac:dyDescent="0.25">
      <c r="A17" s="17"/>
      <c r="B17" s="21" t="s">
        <v>14</v>
      </c>
      <c r="C17" s="40">
        <f t="shared" si="0"/>
        <v>1523790.597320009</v>
      </c>
      <c r="D17" s="40">
        <f t="shared" si="0"/>
        <v>394537</v>
      </c>
      <c r="E17" s="40">
        <f t="shared" si="0"/>
        <v>151112</v>
      </c>
    </row>
    <row r="18" spans="1:5" x14ac:dyDescent="0.25">
      <c r="A18" s="17"/>
      <c r="B18" s="21" t="s">
        <v>15</v>
      </c>
      <c r="C18" s="40">
        <f t="shared" si="0"/>
        <v>1525187.3722461958</v>
      </c>
      <c r="D18" s="40">
        <f t="shared" si="0"/>
        <v>395101</v>
      </c>
      <c r="E18" s="40">
        <f t="shared" si="0"/>
        <v>150198</v>
      </c>
    </row>
    <row r="19" spans="1:5" ht="24" customHeight="1" x14ac:dyDescent="0.25">
      <c r="A19" s="30" t="s">
        <v>16</v>
      </c>
      <c r="B19" s="30" t="s">
        <v>22</v>
      </c>
      <c r="C19" s="48">
        <f>AVERAGE(C20:C31)</f>
        <v>491299.49277008098</v>
      </c>
      <c r="D19" s="48">
        <f>AVERAGE(D20:D31)</f>
        <v>103075.5</v>
      </c>
      <c r="E19" s="48">
        <f>AVERAGE(E20:E31)</f>
        <v>54419.25</v>
      </c>
    </row>
    <row r="20" spans="1:5" x14ac:dyDescent="0.25">
      <c r="A20" s="17"/>
      <c r="B20" s="21" t="s">
        <v>4</v>
      </c>
      <c r="C20" s="42">
        <f>131.71/264.18*1000000</f>
        <v>498561.58679688093</v>
      </c>
      <c r="D20" s="43">
        <v>103029</v>
      </c>
      <c r="E20" s="43">
        <v>54419</v>
      </c>
    </row>
    <row r="21" spans="1:5" x14ac:dyDescent="0.25">
      <c r="A21" s="17"/>
      <c r="B21" s="21" t="s">
        <v>5</v>
      </c>
      <c r="C21" s="42">
        <f>133/264.18*1000000</f>
        <v>503444.62109167984</v>
      </c>
      <c r="D21" s="43">
        <v>103008</v>
      </c>
      <c r="E21" s="43">
        <v>54411</v>
      </c>
    </row>
    <row r="22" spans="1:5" x14ac:dyDescent="0.25">
      <c r="A22" s="17"/>
      <c r="B22" s="21" t="s">
        <v>6</v>
      </c>
      <c r="C22" s="42">
        <f>126.644/264.18*1000000</f>
        <v>479385.26762056176</v>
      </c>
      <c r="D22" s="43">
        <v>103068</v>
      </c>
      <c r="E22" s="43">
        <v>54410</v>
      </c>
    </row>
    <row r="23" spans="1:5" x14ac:dyDescent="0.25">
      <c r="A23" s="17"/>
      <c r="B23" s="21" t="s">
        <v>7</v>
      </c>
      <c r="C23" s="42">
        <f>132.006/264.18*1000000</f>
        <v>499682.03497615259</v>
      </c>
      <c r="D23" s="43">
        <v>103085</v>
      </c>
      <c r="E23" s="43">
        <v>54419</v>
      </c>
    </row>
    <row r="24" spans="1:5" x14ac:dyDescent="0.25">
      <c r="A24" s="17"/>
      <c r="B24" s="21" t="s">
        <v>8</v>
      </c>
      <c r="C24" s="42">
        <f>119.884/264.18*1000000</f>
        <v>453796.65379665379</v>
      </c>
      <c r="D24" s="43">
        <v>103089</v>
      </c>
      <c r="E24" s="43">
        <v>54421</v>
      </c>
    </row>
    <row r="25" spans="1:5" x14ac:dyDescent="0.25">
      <c r="A25" s="17"/>
      <c r="B25" s="21" t="s">
        <v>9</v>
      </c>
      <c r="C25" s="42">
        <f>113.816/264.18*1000000</f>
        <v>430827.46612158377</v>
      </c>
      <c r="D25" s="43">
        <v>103078</v>
      </c>
      <c r="E25" s="43">
        <v>54418</v>
      </c>
    </row>
    <row r="26" spans="1:5" x14ac:dyDescent="0.25">
      <c r="A26" s="17"/>
      <c r="B26" s="21" t="s">
        <v>10</v>
      </c>
      <c r="C26" s="42">
        <f>121.809/264.18*1000000</f>
        <v>461083.35225982283</v>
      </c>
      <c r="D26" s="43">
        <v>103073</v>
      </c>
      <c r="E26" s="43">
        <v>54415</v>
      </c>
    </row>
    <row r="27" spans="1:5" x14ac:dyDescent="0.25">
      <c r="A27" s="17"/>
      <c r="B27" s="21" t="s">
        <v>11</v>
      </c>
      <c r="C27" s="42">
        <f>137.099/264.18*1000000</f>
        <v>518960.55719585123</v>
      </c>
      <c r="D27" s="43">
        <v>103065</v>
      </c>
      <c r="E27" s="43">
        <v>54402</v>
      </c>
    </row>
    <row r="28" spans="1:5" x14ac:dyDescent="0.25">
      <c r="A28" s="17"/>
      <c r="B28" s="21" t="s">
        <v>12</v>
      </c>
      <c r="C28" s="42">
        <f>141.592/264.18*1000000</f>
        <v>535967.90067378304</v>
      </c>
      <c r="D28" s="43">
        <v>103058</v>
      </c>
      <c r="E28" s="43">
        <v>54401</v>
      </c>
    </row>
    <row r="29" spans="1:5" x14ac:dyDescent="0.25">
      <c r="A29" s="17"/>
      <c r="B29" s="21" t="s">
        <v>13</v>
      </c>
      <c r="C29" s="42">
        <f>134.139/264.18*1000000</f>
        <v>507756.07540313428</v>
      </c>
      <c r="D29" s="43">
        <v>103060</v>
      </c>
      <c r="E29" s="43">
        <v>54430</v>
      </c>
    </row>
    <row r="30" spans="1:5" x14ac:dyDescent="0.25">
      <c r="A30" s="17"/>
      <c r="B30" s="21" t="s">
        <v>14</v>
      </c>
      <c r="C30" s="42">
        <f>135.245/264.18*1000000</f>
        <v>511942.61488379136</v>
      </c>
      <c r="D30" s="43">
        <v>103136</v>
      </c>
      <c r="E30" s="43">
        <v>54441</v>
      </c>
    </row>
    <row r="31" spans="1:5" x14ac:dyDescent="0.25">
      <c r="A31" s="17"/>
      <c r="B31" s="21" t="s">
        <v>15</v>
      </c>
      <c r="C31" s="42">
        <f>130.554/264.18*1000000</f>
        <v>494185.78242107655</v>
      </c>
      <c r="D31" s="43">
        <v>103157</v>
      </c>
      <c r="E31" s="43">
        <v>54444</v>
      </c>
    </row>
    <row r="32" spans="1:5" ht="24" customHeight="1" x14ac:dyDescent="0.25">
      <c r="A32" s="30" t="s">
        <v>20</v>
      </c>
      <c r="B32" s="30" t="s">
        <v>22</v>
      </c>
      <c r="C32" s="40">
        <f>AVERAGE(C33:C44)</f>
        <v>404657.49362808187</v>
      </c>
      <c r="D32" s="40">
        <f>AVERAGE(D33:D44)</f>
        <v>120574.33333333333</v>
      </c>
      <c r="E32" s="40">
        <f>AVERAGE(E33:E44)</f>
        <v>57313.916666666664</v>
      </c>
    </row>
    <row r="33" spans="1:5" x14ac:dyDescent="0.25">
      <c r="A33" s="23"/>
      <c r="B33" s="21" t="s">
        <v>4</v>
      </c>
      <c r="C33" s="42">
        <v>387917.32909379969</v>
      </c>
      <c r="D33" s="43">
        <v>119924</v>
      </c>
      <c r="E33" s="43">
        <v>56898</v>
      </c>
    </row>
    <row r="34" spans="1:5" x14ac:dyDescent="0.25">
      <c r="A34" s="23"/>
      <c r="B34" s="21" t="s">
        <v>5</v>
      </c>
      <c r="C34" s="42">
        <v>409936.40699523047</v>
      </c>
      <c r="D34" s="43">
        <v>119903</v>
      </c>
      <c r="E34" s="43">
        <v>56942</v>
      </c>
    </row>
    <row r="35" spans="1:5" x14ac:dyDescent="0.25">
      <c r="A35" s="23"/>
      <c r="B35" s="21" t="s">
        <v>6</v>
      </c>
      <c r="C35" s="42">
        <v>411658.71754107048</v>
      </c>
      <c r="D35" s="43">
        <v>119915</v>
      </c>
      <c r="E35" s="43">
        <v>56948</v>
      </c>
    </row>
    <row r="36" spans="1:5" x14ac:dyDescent="0.25">
      <c r="A36" s="23"/>
      <c r="B36" s="21" t="s">
        <v>7</v>
      </c>
      <c r="C36" s="42">
        <v>404050.26875615114</v>
      </c>
      <c r="D36" s="43">
        <v>119956</v>
      </c>
      <c r="E36" s="43">
        <v>56960</v>
      </c>
    </row>
    <row r="37" spans="1:5" x14ac:dyDescent="0.25">
      <c r="A37" s="23"/>
      <c r="B37" s="21" t="s">
        <v>8</v>
      </c>
      <c r="C37" s="42">
        <v>382398.36475130595</v>
      </c>
      <c r="D37" s="43">
        <v>119956</v>
      </c>
      <c r="E37" s="43">
        <v>56960</v>
      </c>
    </row>
    <row r="38" spans="1:5" x14ac:dyDescent="0.25">
      <c r="A38" s="23"/>
      <c r="B38" s="21" t="s">
        <v>9</v>
      </c>
      <c r="C38" s="42">
        <v>351336.2101597396</v>
      </c>
      <c r="D38" s="43">
        <v>119959</v>
      </c>
      <c r="E38" s="43">
        <v>56960</v>
      </c>
    </row>
    <row r="39" spans="1:5" x14ac:dyDescent="0.25">
      <c r="A39" s="23"/>
      <c r="B39" s="21" t="s">
        <v>10</v>
      </c>
      <c r="C39" s="42">
        <v>337576.65228253463</v>
      </c>
      <c r="D39" s="43">
        <v>120131</v>
      </c>
      <c r="E39" s="43">
        <v>57126</v>
      </c>
    </row>
    <row r="40" spans="1:5" x14ac:dyDescent="0.25">
      <c r="A40" s="23"/>
      <c r="B40" s="21" t="s">
        <v>11</v>
      </c>
      <c r="C40" s="42">
        <v>434480.27859792567</v>
      </c>
      <c r="D40" s="43">
        <v>120945</v>
      </c>
      <c r="E40" s="43">
        <v>57865</v>
      </c>
    </row>
    <row r="41" spans="1:5" x14ac:dyDescent="0.25">
      <c r="A41" s="23"/>
      <c r="B41" s="21" t="s">
        <v>12</v>
      </c>
      <c r="C41" s="42">
        <v>440820.65258535848</v>
      </c>
      <c r="D41" s="43">
        <v>121248</v>
      </c>
      <c r="E41" s="43">
        <v>58092</v>
      </c>
    </row>
    <row r="42" spans="1:5" x14ac:dyDescent="0.25">
      <c r="A42" s="23"/>
      <c r="B42" s="21" t="s">
        <v>13</v>
      </c>
      <c r="C42" s="42">
        <v>442016.80672268907</v>
      </c>
      <c r="D42" s="43">
        <v>121354</v>
      </c>
      <c r="E42" s="43">
        <v>58088</v>
      </c>
    </row>
    <row r="43" spans="1:5" x14ac:dyDescent="0.25">
      <c r="A43" s="23"/>
      <c r="B43" s="21" t="s">
        <v>14</v>
      </c>
      <c r="C43" s="42">
        <v>426497.08532061469</v>
      </c>
      <c r="D43" s="43">
        <v>121625</v>
      </c>
      <c r="E43" s="43">
        <v>58030</v>
      </c>
    </row>
    <row r="44" spans="1:5" x14ac:dyDescent="0.25">
      <c r="A44" s="23"/>
      <c r="B44" s="21" t="s">
        <v>15</v>
      </c>
      <c r="C44" s="42">
        <v>427201.15073056245</v>
      </c>
      <c r="D44" s="43">
        <v>121976</v>
      </c>
      <c r="E44" s="43">
        <v>56898</v>
      </c>
    </row>
    <row r="45" spans="1:5" ht="24" customHeight="1" x14ac:dyDescent="0.25">
      <c r="A45" s="30" t="s">
        <v>18</v>
      </c>
      <c r="B45" s="30" t="s">
        <v>22</v>
      </c>
      <c r="C45" s="40">
        <f>AVERAGE(C46:C57)</f>
        <v>363349.79937921115</v>
      </c>
      <c r="D45" s="40">
        <f>AVERAGE(D46:D57)</f>
        <v>126057.16666666667</v>
      </c>
      <c r="E45" s="40">
        <f>AVERAGE(E46:E57)</f>
        <v>28617.333333333332</v>
      </c>
    </row>
    <row r="46" spans="1:5" x14ac:dyDescent="0.25">
      <c r="A46" s="23"/>
      <c r="B46" s="21" t="s">
        <v>4</v>
      </c>
      <c r="C46" s="42">
        <v>336248.01271860092</v>
      </c>
      <c r="D46" s="43">
        <v>125154</v>
      </c>
      <c r="E46" s="43">
        <v>27975</v>
      </c>
    </row>
    <row r="47" spans="1:5" x14ac:dyDescent="0.25">
      <c r="A47" s="23"/>
      <c r="B47" s="21" t="s">
        <v>5</v>
      </c>
      <c r="C47" s="42">
        <v>299121.81088651682</v>
      </c>
      <c r="D47" s="43">
        <v>125190</v>
      </c>
      <c r="E47" s="43">
        <v>28022</v>
      </c>
    </row>
    <row r="48" spans="1:5" x14ac:dyDescent="0.25">
      <c r="A48" s="23"/>
      <c r="B48" s="21" t="s">
        <v>6</v>
      </c>
      <c r="C48" s="42">
        <v>332489.21190097666</v>
      </c>
      <c r="D48" s="43">
        <v>125175</v>
      </c>
      <c r="E48" s="43">
        <v>28045</v>
      </c>
    </row>
    <row r="49" spans="1:5" x14ac:dyDescent="0.25">
      <c r="A49" s="23"/>
      <c r="B49" s="21" t="s">
        <v>7</v>
      </c>
      <c r="C49" s="42">
        <v>294545.38572185626</v>
      </c>
      <c r="D49" s="43">
        <v>125176</v>
      </c>
      <c r="E49" s="43">
        <v>28052</v>
      </c>
    </row>
    <row r="50" spans="1:5" x14ac:dyDescent="0.25">
      <c r="A50" s="23"/>
      <c r="B50" s="21" t="s">
        <v>8</v>
      </c>
      <c r="C50" s="42">
        <v>303357.5592399122</v>
      </c>
      <c r="D50" s="43">
        <v>125292</v>
      </c>
      <c r="E50" s="43">
        <v>28072</v>
      </c>
    </row>
    <row r="51" spans="1:5" x14ac:dyDescent="0.25">
      <c r="A51" s="23"/>
      <c r="B51" s="21" t="s">
        <v>9</v>
      </c>
      <c r="C51" s="42">
        <v>346782.4967824968</v>
      </c>
      <c r="D51" s="43">
        <v>125374</v>
      </c>
      <c r="E51" s="43">
        <v>28085</v>
      </c>
    </row>
    <row r="52" spans="1:5" x14ac:dyDescent="0.25">
      <c r="A52" s="23"/>
      <c r="B52" s="21" t="s">
        <v>10</v>
      </c>
      <c r="C52" s="42">
        <v>385456.88545688544</v>
      </c>
      <c r="D52" s="43">
        <v>126014</v>
      </c>
      <c r="E52" s="43">
        <v>28555</v>
      </c>
    </row>
    <row r="53" spans="1:5" x14ac:dyDescent="0.25">
      <c r="A53" s="23"/>
      <c r="B53" s="21" t="s">
        <v>11</v>
      </c>
      <c r="C53" s="42">
        <v>386793.09561662504</v>
      </c>
      <c r="D53" s="43">
        <v>126762</v>
      </c>
      <c r="E53" s="43">
        <v>29044</v>
      </c>
    </row>
    <row r="54" spans="1:5" x14ac:dyDescent="0.25">
      <c r="A54" s="23"/>
      <c r="B54" s="21" t="s">
        <v>12</v>
      </c>
      <c r="C54" s="42">
        <v>416208.64562041027</v>
      </c>
      <c r="D54" s="43">
        <v>127034</v>
      </c>
      <c r="E54" s="43">
        <v>29308</v>
      </c>
    </row>
    <row r="55" spans="1:5" x14ac:dyDescent="0.25">
      <c r="A55" s="23"/>
      <c r="B55" s="21" t="s">
        <v>13</v>
      </c>
      <c r="C55" s="42">
        <v>416295.7074721781</v>
      </c>
      <c r="D55" s="43">
        <v>127075</v>
      </c>
      <c r="E55" s="43">
        <v>29357</v>
      </c>
    </row>
    <row r="56" spans="1:5" x14ac:dyDescent="0.25">
      <c r="A56" s="23"/>
      <c r="B56" s="21" t="s">
        <v>14</v>
      </c>
      <c r="C56" s="42">
        <v>415697.63040351274</v>
      </c>
      <c r="D56" s="43">
        <v>127193</v>
      </c>
      <c r="E56" s="43">
        <v>29405</v>
      </c>
    </row>
    <row r="57" spans="1:5" x14ac:dyDescent="0.25">
      <c r="A57" s="23"/>
      <c r="B57" s="21" t="s">
        <v>15</v>
      </c>
      <c r="C57" s="42">
        <v>427201.15073056245</v>
      </c>
      <c r="D57" s="43">
        <v>127247</v>
      </c>
      <c r="E57" s="43">
        <v>29488</v>
      </c>
    </row>
    <row r="58" spans="1:5" ht="24" customHeight="1" x14ac:dyDescent="0.25">
      <c r="A58" s="30" t="s">
        <v>19</v>
      </c>
      <c r="B58" s="30" t="s">
        <v>22</v>
      </c>
      <c r="C58" s="40">
        <f>AVERAGE(C59:C70)</f>
        <v>170947.83859489745</v>
      </c>
      <c r="D58" s="40">
        <f>AVERAGE(D59:D70)</f>
        <v>41756.666666666664</v>
      </c>
      <c r="E58" s="40">
        <f>AVERAGE(E59:E70)</f>
        <v>8360.75</v>
      </c>
    </row>
    <row r="59" spans="1:5" x14ac:dyDescent="0.25">
      <c r="A59" s="23"/>
      <c r="B59" s="21" t="s">
        <v>4</v>
      </c>
      <c r="C59" s="42">
        <v>159588.15958815959</v>
      </c>
      <c r="D59" s="43">
        <v>41188</v>
      </c>
      <c r="E59" s="43">
        <v>7495</v>
      </c>
    </row>
    <row r="60" spans="1:5" x14ac:dyDescent="0.25">
      <c r="A60" s="23"/>
      <c r="B60" s="21" t="s">
        <v>5</v>
      </c>
      <c r="C60" s="42">
        <v>157048.22469528351</v>
      </c>
      <c r="D60" s="43">
        <v>41244</v>
      </c>
      <c r="E60" s="43">
        <v>7938</v>
      </c>
    </row>
    <row r="61" spans="1:5" x14ac:dyDescent="0.25">
      <c r="A61" s="23"/>
      <c r="B61" s="21" t="s">
        <v>6</v>
      </c>
      <c r="C61" s="42">
        <v>179366.341131047</v>
      </c>
      <c r="D61" s="43">
        <v>41395</v>
      </c>
      <c r="E61" s="43">
        <v>7982</v>
      </c>
    </row>
    <row r="62" spans="1:5" x14ac:dyDescent="0.25">
      <c r="A62" s="23"/>
      <c r="B62" s="21" t="s">
        <v>7</v>
      </c>
      <c r="C62" s="42">
        <v>182069.04383374969</v>
      </c>
      <c r="D62" s="43">
        <v>41395</v>
      </c>
      <c r="E62" s="43">
        <v>7981</v>
      </c>
    </row>
    <row r="63" spans="1:5" x14ac:dyDescent="0.25">
      <c r="A63" s="23"/>
      <c r="B63" s="21" t="s">
        <v>8</v>
      </c>
      <c r="C63" s="42">
        <v>186179.87735634795</v>
      </c>
      <c r="D63" s="43">
        <v>41412</v>
      </c>
      <c r="E63" s="43">
        <v>7975</v>
      </c>
    </row>
    <row r="64" spans="1:5" x14ac:dyDescent="0.25">
      <c r="A64" s="23"/>
      <c r="B64" s="21" t="s">
        <v>9</v>
      </c>
      <c r="C64" s="42">
        <v>176001.21129532895</v>
      </c>
      <c r="D64" s="43">
        <v>41416</v>
      </c>
      <c r="E64" s="43">
        <v>7978</v>
      </c>
    </row>
    <row r="65" spans="1:5" x14ac:dyDescent="0.25">
      <c r="A65" s="23"/>
      <c r="B65" s="21" t="s">
        <v>10</v>
      </c>
      <c r="C65" s="42">
        <v>170247.55848285259</v>
      </c>
      <c r="D65" s="43">
        <v>41639</v>
      </c>
      <c r="E65" s="43">
        <v>8313</v>
      </c>
    </row>
    <row r="66" spans="1:5" x14ac:dyDescent="0.25">
      <c r="A66" s="23"/>
      <c r="B66" s="21" t="s">
        <v>11</v>
      </c>
      <c r="C66" s="42">
        <v>162381.70944053298</v>
      </c>
      <c r="D66" s="43">
        <v>41731</v>
      </c>
      <c r="E66" s="43">
        <v>8403</v>
      </c>
    </row>
    <row r="67" spans="1:5" x14ac:dyDescent="0.25">
      <c r="A67" s="23"/>
      <c r="B67" s="21" t="s">
        <v>12</v>
      </c>
      <c r="C67" s="42">
        <v>162446.05950488301</v>
      </c>
      <c r="D67" s="43">
        <v>41966</v>
      </c>
      <c r="E67" s="43">
        <v>8635</v>
      </c>
    </row>
    <row r="68" spans="1:5" x14ac:dyDescent="0.25">
      <c r="A68" s="23"/>
      <c r="B68" s="21" t="s">
        <v>13</v>
      </c>
      <c r="C68" s="42">
        <v>169793.3227344992</v>
      </c>
      <c r="D68" s="43">
        <v>42390</v>
      </c>
      <c r="E68" s="43">
        <v>9025</v>
      </c>
    </row>
    <row r="69" spans="1:5" x14ac:dyDescent="0.25">
      <c r="A69" s="23"/>
      <c r="B69" s="21" t="s">
        <v>14</v>
      </c>
      <c r="C69" s="42">
        <v>169653.26671209023</v>
      </c>
      <c r="D69" s="43">
        <v>42583</v>
      </c>
      <c r="E69" s="43">
        <v>9236</v>
      </c>
    </row>
    <row r="70" spans="1:5" ht="15" customHeight="1" x14ac:dyDescent="0.25">
      <c r="A70" s="25"/>
      <c r="B70" s="26" t="s">
        <v>15</v>
      </c>
      <c r="C70" s="44">
        <v>176599.28836399424</v>
      </c>
      <c r="D70" s="45">
        <v>42721</v>
      </c>
      <c r="E70" s="45">
        <v>9368</v>
      </c>
    </row>
    <row r="71" spans="1:5" ht="15" customHeight="1" x14ac:dyDescent="0.25">
      <c r="A71" s="47" t="s">
        <v>63</v>
      </c>
      <c r="B71" s="21"/>
      <c r="C71" s="35"/>
      <c r="D71" s="22"/>
      <c r="E71" s="22"/>
    </row>
    <row r="72" spans="1:5" ht="18" customHeight="1" x14ac:dyDescent="0.25">
      <c r="A72" s="77" t="s">
        <v>50</v>
      </c>
      <c r="B72" s="77"/>
      <c r="C72" s="77"/>
      <c r="D72" s="77"/>
      <c r="E72" s="77"/>
    </row>
    <row r="73" spans="1:5" ht="11.25" customHeight="1" x14ac:dyDescent="0.25">
      <c r="A73" s="77" t="s">
        <v>39</v>
      </c>
      <c r="B73" s="77"/>
      <c r="C73" s="77"/>
      <c r="D73" s="77"/>
      <c r="E73" s="77"/>
    </row>
    <row r="74" spans="1:5" ht="11.25" customHeight="1" x14ac:dyDescent="0.25">
      <c r="A74" s="77" t="s">
        <v>40</v>
      </c>
      <c r="B74" s="77"/>
      <c r="C74" s="77"/>
      <c r="D74" s="77"/>
      <c r="E74" s="77"/>
    </row>
    <row r="75" spans="1:5" ht="11.25" customHeight="1" x14ac:dyDescent="0.25">
      <c r="A75" s="80" t="s">
        <v>34</v>
      </c>
      <c r="B75" s="80"/>
      <c r="C75" s="80"/>
      <c r="D75" s="80"/>
      <c r="E75" s="80"/>
    </row>
    <row r="76" spans="1:5" ht="11.25" customHeight="1" x14ac:dyDescent="0.25">
      <c r="A76" s="77" t="s">
        <v>24</v>
      </c>
      <c r="B76" s="77"/>
      <c r="C76" s="77"/>
      <c r="D76" s="77"/>
      <c r="E76" s="77"/>
    </row>
    <row r="77" spans="1:5" ht="18" customHeight="1" x14ac:dyDescent="0.25">
      <c r="A77" s="77" t="s">
        <v>23</v>
      </c>
      <c r="B77" s="77"/>
      <c r="C77" s="77"/>
      <c r="D77" s="77"/>
      <c r="E77" s="77"/>
    </row>
  </sheetData>
  <mergeCells count="10">
    <mergeCell ref="A1:E1"/>
    <mergeCell ref="A4:A5"/>
    <mergeCell ref="B4:B5"/>
    <mergeCell ref="A77:E77"/>
    <mergeCell ref="A72:E72"/>
    <mergeCell ref="A73:E73"/>
    <mergeCell ref="A74:E74"/>
    <mergeCell ref="A75:E75"/>
    <mergeCell ref="A76:E76"/>
    <mergeCell ref="A2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8"/>
  <sheetViews>
    <sheetView workbookViewId="0">
      <selection activeCell="G4" sqref="G4"/>
    </sheetView>
  </sheetViews>
  <sheetFormatPr baseColWidth="10" defaultColWidth="11.42578125" defaultRowHeight="12" x14ac:dyDescent="0.2"/>
  <cols>
    <col min="1" max="1" width="14.85546875" style="9" customWidth="1"/>
    <col min="2" max="2" width="17.140625" style="9" customWidth="1"/>
    <col min="3" max="3" width="18.5703125" style="9" customWidth="1"/>
    <col min="4" max="5" width="20" style="9" customWidth="1"/>
    <col min="6" max="16384" width="11.42578125" style="9"/>
  </cols>
  <sheetData>
    <row r="1" spans="1:10" x14ac:dyDescent="0.2">
      <c r="A1" s="74"/>
      <c r="B1" s="74"/>
      <c r="C1" s="74"/>
      <c r="D1" s="74"/>
      <c r="E1" s="74"/>
    </row>
    <row r="2" spans="1:10" ht="32.25" customHeight="1" x14ac:dyDescent="0.2">
      <c r="A2" s="78" t="s">
        <v>44</v>
      </c>
      <c r="B2" s="78"/>
      <c r="C2" s="78"/>
      <c r="D2" s="78"/>
      <c r="E2" s="78"/>
      <c r="F2" s="67"/>
      <c r="G2" s="67"/>
      <c r="H2" s="67"/>
      <c r="I2" s="67"/>
      <c r="J2" s="67"/>
    </row>
    <row r="3" spans="1:10" x14ac:dyDescent="0.2">
      <c r="A3" s="17"/>
      <c r="B3" s="18"/>
      <c r="C3" s="19"/>
      <c r="D3" s="17"/>
      <c r="E3" s="17"/>
    </row>
    <row r="4" spans="1:10" ht="38.25" x14ac:dyDescent="0.2">
      <c r="A4" s="75" t="s">
        <v>0</v>
      </c>
      <c r="B4" s="75" t="s">
        <v>1</v>
      </c>
      <c r="C4" s="27" t="s">
        <v>29</v>
      </c>
      <c r="D4" s="27" t="s">
        <v>30</v>
      </c>
      <c r="E4" s="27" t="s">
        <v>31</v>
      </c>
    </row>
    <row r="5" spans="1:10" ht="14.25" x14ac:dyDescent="0.2">
      <c r="A5" s="76"/>
      <c r="B5" s="76"/>
      <c r="C5" s="28" t="s">
        <v>32</v>
      </c>
      <c r="D5" s="28"/>
      <c r="E5" s="28"/>
    </row>
    <row r="6" spans="1:10" ht="19.5" customHeight="1" x14ac:dyDescent="0.2">
      <c r="A6" s="39" t="s">
        <v>55</v>
      </c>
      <c r="B6" s="17"/>
      <c r="C6" s="40">
        <f>AVERAGE(C7:C18)</f>
        <v>1505621.1673858732</v>
      </c>
      <c r="D6" s="40">
        <f>AVERAGE(D7:D18)</f>
        <v>397755</v>
      </c>
      <c r="E6" s="40">
        <f>AVERAGE(E7:E18)</f>
        <v>153911.25</v>
      </c>
    </row>
    <row r="7" spans="1:10" ht="14.25" customHeight="1" x14ac:dyDescent="0.2">
      <c r="A7" s="31" t="s">
        <v>2</v>
      </c>
      <c r="B7" s="21" t="s">
        <v>4</v>
      </c>
      <c r="C7" s="40">
        <f>C21+C34+C47+C60</f>
        <v>1497918.0861533801</v>
      </c>
      <c r="D7" s="40">
        <f t="shared" ref="D7:E14" si="0">D21+D34+D47+D60</f>
        <v>395720</v>
      </c>
      <c r="E7" s="40">
        <f t="shared" si="0"/>
        <v>151921</v>
      </c>
    </row>
    <row r="8" spans="1:10" x14ac:dyDescent="0.2">
      <c r="A8" s="17"/>
      <c r="B8" s="21" t="s">
        <v>5</v>
      </c>
      <c r="C8" s="40">
        <f t="shared" ref="C8:C18" si="1">C22+C35+C48+C61</f>
        <v>1498667.5751381633</v>
      </c>
      <c r="D8" s="40">
        <f t="shared" si="0"/>
        <v>395918</v>
      </c>
      <c r="E8" s="40">
        <f t="shared" si="0"/>
        <v>152125</v>
      </c>
    </row>
    <row r="9" spans="1:10" x14ac:dyDescent="0.2">
      <c r="A9" s="17"/>
      <c r="B9" s="21" t="s">
        <v>6</v>
      </c>
      <c r="C9" s="40">
        <f t="shared" si="1"/>
        <v>1499788.0233174348</v>
      </c>
      <c r="D9" s="40">
        <f t="shared" si="0"/>
        <v>396214</v>
      </c>
      <c r="E9" s="40">
        <f t="shared" si="0"/>
        <v>152299</v>
      </c>
    </row>
    <row r="10" spans="1:10" x14ac:dyDescent="0.2">
      <c r="A10" s="17"/>
      <c r="B10" s="21" t="s">
        <v>7</v>
      </c>
      <c r="C10" s="40">
        <f t="shared" si="1"/>
        <v>1501154.5158603983</v>
      </c>
      <c r="D10" s="40">
        <f t="shared" si="0"/>
        <v>396575</v>
      </c>
      <c r="E10" s="40">
        <f t="shared" si="0"/>
        <v>152682</v>
      </c>
    </row>
    <row r="11" spans="1:10" x14ac:dyDescent="0.2">
      <c r="A11" s="17"/>
      <c r="B11" s="21" t="s">
        <v>8</v>
      </c>
      <c r="C11" s="40">
        <f t="shared" si="1"/>
        <v>1501608.7516087515</v>
      </c>
      <c r="D11" s="40">
        <f t="shared" si="0"/>
        <v>396695</v>
      </c>
      <c r="E11" s="40">
        <f t="shared" si="0"/>
        <v>152828</v>
      </c>
    </row>
    <row r="12" spans="1:10" x14ac:dyDescent="0.2">
      <c r="A12" s="17"/>
      <c r="B12" s="21" t="s">
        <v>9</v>
      </c>
      <c r="C12" s="40">
        <f t="shared" si="1"/>
        <v>1502706.4880006057</v>
      </c>
      <c r="D12" s="40">
        <f t="shared" si="0"/>
        <v>396985</v>
      </c>
      <c r="E12" s="40">
        <f t="shared" si="0"/>
        <v>153143</v>
      </c>
    </row>
    <row r="13" spans="1:10" x14ac:dyDescent="0.2">
      <c r="A13" s="17"/>
      <c r="B13" s="21" t="s">
        <v>10</v>
      </c>
      <c r="C13" s="40">
        <f t="shared" si="1"/>
        <v>1502846.5440230146</v>
      </c>
      <c r="D13" s="40">
        <f t="shared" si="0"/>
        <v>397022</v>
      </c>
      <c r="E13" s="40">
        <f t="shared" si="0"/>
        <v>153204</v>
      </c>
    </row>
    <row r="14" spans="1:10" x14ac:dyDescent="0.2">
      <c r="A14" s="17"/>
      <c r="B14" s="21" t="s">
        <v>11</v>
      </c>
      <c r="C14" s="40">
        <f t="shared" si="1"/>
        <v>1507415.398591869</v>
      </c>
      <c r="D14" s="40">
        <f t="shared" si="0"/>
        <v>398229</v>
      </c>
      <c r="E14" s="40">
        <f t="shared" si="0"/>
        <v>154365</v>
      </c>
    </row>
    <row r="15" spans="1:10" x14ac:dyDescent="0.2">
      <c r="A15" s="17"/>
      <c r="B15" s="21" t="s">
        <v>12</v>
      </c>
      <c r="C15" s="40">
        <f t="shared" si="1"/>
        <v>1511280.1877507758</v>
      </c>
      <c r="D15" s="40">
        <f t="shared" ref="D15:E15" si="2">D29+D42+D55+D68</f>
        <v>399250</v>
      </c>
      <c r="E15" s="40">
        <f t="shared" si="2"/>
        <v>155397</v>
      </c>
    </row>
    <row r="16" spans="1:10" x14ac:dyDescent="0.2">
      <c r="A16" s="17"/>
      <c r="B16" s="21" t="s">
        <v>13</v>
      </c>
      <c r="C16" s="40">
        <f t="shared" si="1"/>
        <v>1514009.3875387991</v>
      </c>
      <c r="D16" s="40">
        <f t="shared" ref="D16:E16" si="3">D30+D43+D56+D69</f>
        <v>399971</v>
      </c>
      <c r="E16" s="40">
        <f t="shared" si="3"/>
        <v>156136</v>
      </c>
    </row>
    <row r="17" spans="1:5" x14ac:dyDescent="0.2">
      <c r="A17" s="17"/>
      <c r="B17" s="21" t="s">
        <v>14</v>
      </c>
      <c r="C17" s="40">
        <f t="shared" si="1"/>
        <v>1514592.3234158529</v>
      </c>
      <c r="D17" s="40">
        <f t="shared" ref="D17:E17" si="4">D31+D44+D57+D70</f>
        <v>400125</v>
      </c>
      <c r="E17" s="40">
        <f t="shared" si="4"/>
        <v>156285</v>
      </c>
    </row>
    <row r="18" spans="1:5" x14ac:dyDescent="0.2">
      <c r="A18" s="17"/>
      <c r="B18" s="21" t="s">
        <v>15</v>
      </c>
      <c r="C18" s="40">
        <f t="shared" si="1"/>
        <v>1515466.7272314329</v>
      </c>
      <c r="D18" s="40">
        <f t="shared" ref="D18:E18" si="5">D32+D45+D58+D71</f>
        <v>400356</v>
      </c>
      <c r="E18" s="40">
        <f t="shared" si="5"/>
        <v>156550</v>
      </c>
    </row>
    <row r="19" spans="1:5" x14ac:dyDescent="0.2">
      <c r="A19" s="17"/>
      <c r="B19" s="21"/>
      <c r="C19" s="41"/>
      <c r="D19" s="41"/>
      <c r="E19" s="41"/>
    </row>
    <row r="20" spans="1:5" ht="24" customHeight="1" x14ac:dyDescent="0.2">
      <c r="A20" s="30" t="s">
        <v>16</v>
      </c>
      <c r="B20" s="30" t="s">
        <v>22</v>
      </c>
      <c r="C20" s="40">
        <f>AVERAGE(C21:C32)</f>
        <v>396898.26381002855</v>
      </c>
      <c r="D20" s="40">
        <f>AVERAGE(D21:D32)</f>
        <v>104852.58333333333</v>
      </c>
      <c r="E20" s="40">
        <f>AVERAGE(E21:E32)</f>
        <v>54561.75</v>
      </c>
    </row>
    <row r="21" spans="1:5" x14ac:dyDescent="0.2">
      <c r="A21" s="17"/>
      <c r="B21" s="21" t="s">
        <v>4</v>
      </c>
      <c r="C21" s="42">
        <f>(122.184/264.18)*1000000</f>
        <v>462502.83897342719</v>
      </c>
      <c r="D21" s="43">
        <v>122184</v>
      </c>
      <c r="E21" s="43">
        <v>54471</v>
      </c>
    </row>
    <row r="22" spans="1:5" x14ac:dyDescent="0.2">
      <c r="A22" s="17"/>
      <c r="B22" s="21" t="s">
        <v>5</v>
      </c>
      <c r="C22" s="42">
        <f t="shared" ref="C22:C32" si="6">(103.277/264.18)*1000000</f>
        <v>390934.21152244677</v>
      </c>
      <c r="D22" s="43">
        <v>103277</v>
      </c>
      <c r="E22" s="43">
        <v>54570</v>
      </c>
    </row>
    <row r="23" spans="1:5" x14ac:dyDescent="0.2">
      <c r="A23" s="17"/>
      <c r="B23" s="21" t="s">
        <v>6</v>
      </c>
      <c r="C23" s="42">
        <f t="shared" si="6"/>
        <v>390934.21152244677</v>
      </c>
      <c r="D23" s="43">
        <v>103277</v>
      </c>
      <c r="E23" s="43">
        <v>54570</v>
      </c>
    </row>
    <row r="24" spans="1:5" x14ac:dyDescent="0.2">
      <c r="A24" s="17"/>
      <c r="B24" s="21" t="s">
        <v>7</v>
      </c>
      <c r="C24" s="42">
        <f t="shared" si="6"/>
        <v>390934.21152244677</v>
      </c>
      <c r="D24" s="43">
        <v>103277</v>
      </c>
      <c r="E24" s="43">
        <v>54570</v>
      </c>
    </row>
    <row r="25" spans="1:5" x14ac:dyDescent="0.2">
      <c r="A25" s="17"/>
      <c r="B25" s="21" t="s">
        <v>8</v>
      </c>
      <c r="C25" s="42">
        <f t="shared" si="6"/>
        <v>390934.21152244677</v>
      </c>
      <c r="D25" s="43">
        <v>103277</v>
      </c>
      <c r="E25" s="43">
        <v>54570</v>
      </c>
    </row>
    <row r="26" spans="1:5" x14ac:dyDescent="0.2">
      <c r="A26" s="17"/>
      <c r="B26" s="21" t="s">
        <v>9</v>
      </c>
      <c r="C26" s="42">
        <f t="shared" si="6"/>
        <v>390934.21152244677</v>
      </c>
      <c r="D26" s="43">
        <v>103277</v>
      </c>
      <c r="E26" s="43">
        <v>54570</v>
      </c>
    </row>
    <row r="27" spans="1:5" x14ac:dyDescent="0.2">
      <c r="A27" s="17"/>
      <c r="B27" s="21" t="s">
        <v>10</v>
      </c>
      <c r="C27" s="42">
        <f t="shared" si="6"/>
        <v>390934.21152244677</v>
      </c>
      <c r="D27" s="43">
        <v>103277</v>
      </c>
      <c r="E27" s="43">
        <v>54570</v>
      </c>
    </row>
    <row r="28" spans="1:5" x14ac:dyDescent="0.2">
      <c r="A28" s="17"/>
      <c r="B28" s="21" t="s">
        <v>11</v>
      </c>
      <c r="C28" s="42">
        <f t="shared" si="6"/>
        <v>390934.21152244677</v>
      </c>
      <c r="D28" s="43">
        <v>103277</v>
      </c>
      <c r="E28" s="43">
        <v>54570</v>
      </c>
    </row>
    <row r="29" spans="1:5" x14ac:dyDescent="0.2">
      <c r="A29" s="17"/>
      <c r="B29" s="21" t="s">
        <v>12</v>
      </c>
      <c r="C29" s="42">
        <f t="shared" si="6"/>
        <v>390934.21152244677</v>
      </c>
      <c r="D29" s="43">
        <v>103277</v>
      </c>
      <c r="E29" s="43">
        <v>54570</v>
      </c>
    </row>
    <row r="30" spans="1:5" x14ac:dyDescent="0.2">
      <c r="A30" s="17"/>
      <c r="B30" s="21" t="s">
        <v>13</v>
      </c>
      <c r="C30" s="42">
        <f t="shared" si="6"/>
        <v>390934.21152244677</v>
      </c>
      <c r="D30" s="43">
        <v>103277</v>
      </c>
      <c r="E30" s="43">
        <v>54570</v>
      </c>
    </row>
    <row r="31" spans="1:5" x14ac:dyDescent="0.2">
      <c r="A31" s="17"/>
      <c r="B31" s="21" t="s">
        <v>14</v>
      </c>
      <c r="C31" s="42">
        <f t="shared" si="6"/>
        <v>390934.21152244677</v>
      </c>
      <c r="D31" s="43">
        <v>103277</v>
      </c>
      <c r="E31" s="43">
        <v>54570</v>
      </c>
    </row>
    <row r="32" spans="1:5" x14ac:dyDescent="0.2">
      <c r="A32" s="17"/>
      <c r="B32" s="21" t="s">
        <v>15</v>
      </c>
      <c r="C32" s="42">
        <f t="shared" si="6"/>
        <v>390934.21152244677</v>
      </c>
      <c r="D32" s="43">
        <v>103277</v>
      </c>
      <c r="E32" s="43">
        <v>54570</v>
      </c>
    </row>
    <row r="33" spans="1:5" ht="24" customHeight="1" x14ac:dyDescent="0.2">
      <c r="A33" s="30" t="s">
        <v>20</v>
      </c>
      <c r="B33" s="30" t="s">
        <v>22</v>
      </c>
      <c r="C33" s="40">
        <f>AVERAGE(C34:C45)</f>
        <v>456704.39346909936</v>
      </c>
      <c r="D33" s="40">
        <f>AVERAGE(D34:D45)</f>
        <v>120652.16666666667</v>
      </c>
      <c r="E33" s="40">
        <f>AVERAGE(E34:E45)</f>
        <v>58305.916666666664</v>
      </c>
    </row>
    <row r="34" spans="1:5" x14ac:dyDescent="0.2">
      <c r="A34" s="17"/>
      <c r="B34" s="21" t="s">
        <v>4</v>
      </c>
      <c r="C34" s="42">
        <f>(103.225/264.18)*1000000</f>
        <v>390737.37603149365</v>
      </c>
      <c r="D34" s="43">
        <v>103225</v>
      </c>
      <c r="E34" s="43">
        <v>58272</v>
      </c>
    </row>
    <row r="35" spans="1:5" x14ac:dyDescent="0.2">
      <c r="A35" s="17"/>
      <c r="B35" s="21" t="s">
        <v>5</v>
      </c>
      <c r="C35" s="42">
        <f>(122.241/264.18)*1000000</f>
        <v>462718.60095389507</v>
      </c>
      <c r="D35" s="43">
        <v>122241</v>
      </c>
      <c r="E35" s="43">
        <v>58309</v>
      </c>
    </row>
    <row r="36" spans="1:5" x14ac:dyDescent="0.2">
      <c r="A36" s="17"/>
      <c r="B36" s="21" t="s">
        <v>6</v>
      </c>
      <c r="C36" s="42">
        <f t="shared" ref="C36:C45" si="7">(122.236/264.18)*1000000</f>
        <v>462699.67446438037</v>
      </c>
      <c r="D36" s="43">
        <v>122236</v>
      </c>
      <c r="E36" s="43">
        <v>58309</v>
      </c>
    </row>
    <row r="37" spans="1:5" x14ac:dyDescent="0.2">
      <c r="A37" s="17"/>
      <c r="B37" s="21" t="s">
        <v>7</v>
      </c>
      <c r="C37" s="42">
        <f t="shared" si="7"/>
        <v>462699.67446438037</v>
      </c>
      <c r="D37" s="43">
        <v>122236</v>
      </c>
      <c r="E37" s="43">
        <v>58309</v>
      </c>
    </row>
    <row r="38" spans="1:5" x14ac:dyDescent="0.2">
      <c r="A38" s="17"/>
      <c r="B38" s="21" t="s">
        <v>8</v>
      </c>
      <c r="C38" s="42">
        <f t="shared" si="7"/>
        <v>462699.67446438037</v>
      </c>
      <c r="D38" s="43">
        <v>122236</v>
      </c>
      <c r="E38" s="43">
        <v>58309</v>
      </c>
    </row>
    <row r="39" spans="1:5" x14ac:dyDescent="0.2">
      <c r="A39" s="17"/>
      <c r="B39" s="21" t="s">
        <v>9</v>
      </c>
      <c r="C39" s="42">
        <f t="shared" si="7"/>
        <v>462699.67446438037</v>
      </c>
      <c r="D39" s="43">
        <v>122236</v>
      </c>
      <c r="E39" s="43">
        <v>58309</v>
      </c>
    </row>
    <row r="40" spans="1:5" x14ac:dyDescent="0.2">
      <c r="A40" s="17"/>
      <c r="B40" s="21" t="s">
        <v>10</v>
      </c>
      <c r="C40" s="42">
        <f t="shared" si="7"/>
        <v>462699.67446438037</v>
      </c>
      <c r="D40" s="43">
        <v>122236</v>
      </c>
      <c r="E40" s="43">
        <v>58309</v>
      </c>
    </row>
    <row r="41" spans="1:5" x14ac:dyDescent="0.2">
      <c r="A41" s="17"/>
      <c r="B41" s="21" t="s">
        <v>11</v>
      </c>
      <c r="C41" s="42">
        <f t="shared" si="7"/>
        <v>462699.67446438037</v>
      </c>
      <c r="D41" s="43">
        <v>122236</v>
      </c>
      <c r="E41" s="43">
        <v>58309</v>
      </c>
    </row>
    <row r="42" spans="1:5" x14ac:dyDescent="0.2">
      <c r="A42" s="17"/>
      <c r="B42" s="21" t="s">
        <v>12</v>
      </c>
      <c r="C42" s="42">
        <f t="shared" si="7"/>
        <v>462699.67446438037</v>
      </c>
      <c r="D42" s="43">
        <v>122236</v>
      </c>
      <c r="E42" s="43">
        <v>58309</v>
      </c>
    </row>
    <row r="43" spans="1:5" x14ac:dyDescent="0.2">
      <c r="A43" s="17"/>
      <c r="B43" s="21" t="s">
        <v>13</v>
      </c>
      <c r="C43" s="42">
        <f t="shared" si="7"/>
        <v>462699.67446438037</v>
      </c>
      <c r="D43" s="43">
        <v>122236</v>
      </c>
      <c r="E43" s="43">
        <v>58309</v>
      </c>
    </row>
    <row r="44" spans="1:5" x14ac:dyDescent="0.2">
      <c r="A44" s="17"/>
      <c r="B44" s="21" t="s">
        <v>14</v>
      </c>
      <c r="C44" s="42">
        <f t="shared" si="7"/>
        <v>462699.67446438037</v>
      </c>
      <c r="D44" s="43">
        <v>122236</v>
      </c>
      <c r="E44" s="43">
        <v>58309</v>
      </c>
    </row>
    <row r="45" spans="1:5" x14ac:dyDescent="0.2">
      <c r="A45" s="17"/>
      <c r="B45" s="21" t="s">
        <v>15</v>
      </c>
      <c r="C45" s="42">
        <f t="shared" si="7"/>
        <v>462699.67446438037</v>
      </c>
      <c r="D45" s="43">
        <v>122236</v>
      </c>
      <c r="E45" s="43">
        <v>58309</v>
      </c>
    </row>
    <row r="46" spans="1:5" ht="24" customHeight="1" x14ac:dyDescent="0.2">
      <c r="A46" s="30" t="s">
        <v>18</v>
      </c>
      <c r="B46" s="30" t="s">
        <v>22</v>
      </c>
      <c r="C46" s="40">
        <f>AVERAGE(C47:C58)</f>
        <v>489382.55482373131</v>
      </c>
      <c r="D46" s="40">
        <f>AVERAGE(D47:D58)</f>
        <v>129285.08333333333</v>
      </c>
      <c r="E46" s="40">
        <f>AVERAGE(E47:E58)</f>
        <v>31459.5</v>
      </c>
    </row>
    <row r="47" spans="1:5" x14ac:dyDescent="0.2">
      <c r="A47" s="17"/>
      <c r="B47" s="21" t="s">
        <v>4</v>
      </c>
      <c r="C47" s="42">
        <f>(127.571/264.18)*1000000</f>
        <v>482894.23877659172</v>
      </c>
      <c r="D47" s="43">
        <v>127571</v>
      </c>
      <c r="E47" s="43">
        <v>29797</v>
      </c>
    </row>
    <row r="48" spans="1:5" x14ac:dyDescent="0.2">
      <c r="A48" s="17"/>
      <c r="B48" s="21" t="s">
        <v>5</v>
      </c>
      <c r="C48" s="42">
        <f>(127.607/264.18)*1000000</f>
        <v>483030.50950109772</v>
      </c>
      <c r="D48" s="43">
        <v>127607</v>
      </c>
      <c r="E48" s="43">
        <v>29877</v>
      </c>
    </row>
    <row r="49" spans="1:5" x14ac:dyDescent="0.2">
      <c r="A49" s="17"/>
      <c r="B49" s="21" t="s">
        <v>6</v>
      </c>
      <c r="C49" s="42">
        <f>(127.901/264.18)*1000000</f>
        <v>484143.3870845635</v>
      </c>
      <c r="D49" s="43">
        <v>127901</v>
      </c>
      <c r="E49" s="43">
        <v>30048</v>
      </c>
    </row>
    <row r="50" spans="1:5" x14ac:dyDescent="0.2">
      <c r="A50" s="17"/>
      <c r="B50" s="21" t="s">
        <v>7</v>
      </c>
      <c r="C50" s="42">
        <f>(128.161/264.18)*1000000</f>
        <v>485127.56453932927</v>
      </c>
      <c r="D50" s="43">
        <v>128161</v>
      </c>
      <c r="E50" s="43">
        <v>30276</v>
      </c>
    </row>
    <row r="51" spans="1:5" x14ac:dyDescent="0.2">
      <c r="A51" s="17"/>
      <c r="B51" s="21" t="s">
        <v>8</v>
      </c>
      <c r="C51" s="42">
        <f>(128.278/264.18)*1000000</f>
        <v>485570.4443939738</v>
      </c>
      <c r="D51" s="43">
        <v>128278</v>
      </c>
      <c r="E51" s="43">
        <v>30420</v>
      </c>
    </row>
    <row r="52" spans="1:5" x14ac:dyDescent="0.2">
      <c r="A52" s="17"/>
      <c r="B52" s="21" t="s">
        <v>9</v>
      </c>
      <c r="C52" s="42">
        <f>(128.531/264.18)*1000000</f>
        <v>486528.12476341886</v>
      </c>
      <c r="D52" s="43">
        <v>128531</v>
      </c>
      <c r="E52" s="43">
        <v>30697</v>
      </c>
    </row>
    <row r="53" spans="1:5" x14ac:dyDescent="0.2">
      <c r="A53" s="17"/>
      <c r="B53" s="21" t="s">
        <v>10</v>
      </c>
      <c r="C53" s="42">
        <f>(128.556/264.18)*1000000</f>
        <v>486622.75721099251</v>
      </c>
      <c r="D53" s="43">
        <v>128556</v>
      </c>
      <c r="E53" s="43">
        <v>30746</v>
      </c>
    </row>
    <row r="54" spans="1:5" x14ac:dyDescent="0.2">
      <c r="A54" s="17"/>
      <c r="B54" s="21" t="s">
        <v>11</v>
      </c>
      <c r="C54" s="42">
        <f>(129.605/264.18)*1000000</f>
        <v>490593.53471118171</v>
      </c>
      <c r="D54" s="43">
        <v>129605</v>
      </c>
      <c r="E54" s="43">
        <v>31751</v>
      </c>
    </row>
    <row r="55" spans="1:5" x14ac:dyDescent="0.2">
      <c r="A55" s="17"/>
      <c r="B55" s="21" t="s">
        <v>12</v>
      </c>
      <c r="C55" s="42">
        <f>(130.635 /264.18)*1000000</f>
        <v>494492.39155121503</v>
      </c>
      <c r="D55" s="43">
        <v>130635</v>
      </c>
      <c r="E55" s="43">
        <v>32788</v>
      </c>
    </row>
    <row r="56" spans="1:5" x14ac:dyDescent="0.2">
      <c r="A56" s="17"/>
      <c r="B56" s="21" t="s">
        <v>13</v>
      </c>
      <c r="C56" s="42">
        <f>(131.353 /264.18)*1000000</f>
        <v>497210.23544552957</v>
      </c>
      <c r="D56" s="43">
        <v>131353</v>
      </c>
      <c r="E56" s="43">
        <v>33518</v>
      </c>
    </row>
    <row r="57" spans="1:5" x14ac:dyDescent="0.2">
      <c r="A57" s="17"/>
      <c r="B57" s="21" t="s">
        <v>14</v>
      </c>
      <c r="C57" s="42">
        <f>(131.501 /264.18)*1000000</f>
        <v>497770.4595351654</v>
      </c>
      <c r="D57" s="43">
        <v>131501</v>
      </c>
      <c r="E57" s="43">
        <v>33670</v>
      </c>
    </row>
    <row r="58" spans="1:5" x14ac:dyDescent="0.2">
      <c r="A58" s="17"/>
      <c r="B58" s="21" t="s">
        <v>15</v>
      </c>
      <c r="C58" s="42">
        <f>(131.722 /264.18)*1000000</f>
        <v>498607.01037171629</v>
      </c>
      <c r="D58" s="43">
        <v>131722</v>
      </c>
      <c r="E58" s="43">
        <v>33926</v>
      </c>
    </row>
    <row r="59" spans="1:5" ht="24" customHeight="1" x14ac:dyDescent="0.2">
      <c r="A59" s="30" t="s">
        <v>19</v>
      </c>
      <c r="B59" s="30" t="s">
        <v>22</v>
      </c>
      <c r="C59" s="40">
        <f>AVERAGE(C60:C71)</f>
        <v>162635.9552830141</v>
      </c>
      <c r="D59" s="40">
        <f>AVERAGE(D60:D71)</f>
        <v>42965.166666666664</v>
      </c>
      <c r="E59" s="40">
        <f>AVERAGE(E60:E71)</f>
        <v>9584.0833333333339</v>
      </c>
    </row>
    <row r="60" spans="1:5" x14ac:dyDescent="0.2">
      <c r="A60" s="17"/>
      <c r="B60" s="21" t="s">
        <v>4</v>
      </c>
      <c r="C60" s="42">
        <f>(42.74/264.18)*1000000</f>
        <v>161783.63237186766</v>
      </c>
      <c r="D60" s="43">
        <v>42740</v>
      </c>
      <c r="E60" s="43">
        <v>9381</v>
      </c>
    </row>
    <row r="61" spans="1:5" x14ac:dyDescent="0.2">
      <c r="A61" s="17"/>
      <c r="B61" s="21" t="s">
        <v>5</v>
      </c>
      <c r="C61" s="42">
        <f>(42.793/264.18)*1000000</f>
        <v>161984.25316072375</v>
      </c>
      <c r="D61" s="43">
        <v>42793</v>
      </c>
      <c r="E61" s="43">
        <v>9369</v>
      </c>
    </row>
    <row r="62" spans="1:5" x14ac:dyDescent="0.2">
      <c r="A62" s="17"/>
      <c r="B62" s="21" t="s">
        <v>6</v>
      </c>
      <c r="C62" s="42">
        <f>(42.8/264.18)*1000000</f>
        <v>162010.75024604436</v>
      </c>
      <c r="D62" s="43">
        <v>42800</v>
      </c>
      <c r="E62" s="43">
        <v>9372</v>
      </c>
    </row>
    <row r="63" spans="1:5" x14ac:dyDescent="0.2">
      <c r="A63" s="17"/>
      <c r="B63" s="21" t="s">
        <v>7</v>
      </c>
      <c r="C63" s="42">
        <f>(42.901/264.18)*1000000</f>
        <v>162393.06533424181</v>
      </c>
      <c r="D63" s="43">
        <v>42901</v>
      </c>
      <c r="E63" s="43">
        <v>9527</v>
      </c>
    </row>
    <row r="64" spans="1:5" x14ac:dyDescent="0.2">
      <c r="A64" s="17"/>
      <c r="B64" s="21" t="s">
        <v>8</v>
      </c>
      <c r="C64" s="42">
        <f>(42.904/264.18)*1000000</f>
        <v>162404.42122795066</v>
      </c>
      <c r="D64" s="43">
        <v>42904</v>
      </c>
      <c r="E64" s="43">
        <v>9529</v>
      </c>
    </row>
    <row r="65" spans="1:5" x14ac:dyDescent="0.2">
      <c r="A65" s="17"/>
      <c r="B65" s="21" t="s">
        <v>9</v>
      </c>
      <c r="C65" s="42">
        <f>(42.941/264.18)*1000000</f>
        <v>162544.4772503596</v>
      </c>
      <c r="D65" s="43">
        <v>42941</v>
      </c>
      <c r="E65" s="43">
        <v>9567</v>
      </c>
    </row>
    <row r="66" spans="1:5" x14ac:dyDescent="0.2">
      <c r="A66" s="17"/>
      <c r="B66" s="21" t="s">
        <v>10</v>
      </c>
      <c r="C66" s="42">
        <f>(42.953/264.18)*1000000</f>
        <v>162589.90082519496</v>
      </c>
      <c r="D66" s="43">
        <v>42953</v>
      </c>
      <c r="E66" s="43">
        <v>9579</v>
      </c>
    </row>
    <row r="67" spans="1:5" x14ac:dyDescent="0.2">
      <c r="A67" s="17"/>
      <c r="B67" s="21" t="s">
        <v>11</v>
      </c>
      <c r="C67" s="42">
        <f>(43.111/264.18)*1000000</f>
        <v>163187.97789386022</v>
      </c>
      <c r="D67" s="43">
        <v>43111</v>
      </c>
      <c r="E67" s="43">
        <v>9735</v>
      </c>
    </row>
    <row r="68" spans="1:5" x14ac:dyDescent="0.2">
      <c r="A68" s="17"/>
      <c r="B68" s="21" t="s">
        <v>12</v>
      </c>
      <c r="C68" s="42">
        <f>(43.102 /264.18)*1000000</f>
        <v>163153.91021273372</v>
      </c>
      <c r="D68" s="43">
        <v>43102</v>
      </c>
      <c r="E68" s="43">
        <v>9730</v>
      </c>
    </row>
    <row r="69" spans="1:5" x14ac:dyDescent="0.2">
      <c r="A69" s="17"/>
      <c r="B69" s="21" t="s">
        <v>13</v>
      </c>
      <c r="C69" s="42">
        <f>(43.105 /264.18)*1000000</f>
        <v>163165.26610644255</v>
      </c>
      <c r="D69" s="43">
        <v>43105</v>
      </c>
      <c r="E69" s="43">
        <v>9739</v>
      </c>
    </row>
    <row r="70" spans="1:5" x14ac:dyDescent="0.2">
      <c r="A70" s="17"/>
      <c r="B70" s="21" t="s">
        <v>14</v>
      </c>
      <c r="C70" s="42">
        <f>(43.111 /264.18)*1000000</f>
        <v>163187.97789386022</v>
      </c>
      <c r="D70" s="43">
        <v>43111</v>
      </c>
      <c r="E70" s="43">
        <v>9736</v>
      </c>
    </row>
    <row r="71" spans="1:5" ht="15" customHeight="1" x14ac:dyDescent="0.2">
      <c r="A71" s="34"/>
      <c r="B71" s="26" t="s">
        <v>15</v>
      </c>
      <c r="C71" s="44">
        <f>(43.121 /264.18)*1000000</f>
        <v>163225.8308728897</v>
      </c>
      <c r="D71" s="45">
        <v>43121</v>
      </c>
      <c r="E71" s="45">
        <v>9745</v>
      </c>
    </row>
    <row r="72" spans="1:5" ht="15" customHeight="1" x14ac:dyDescent="0.2">
      <c r="A72" s="47" t="s">
        <v>63</v>
      </c>
      <c r="B72" s="21"/>
      <c r="C72" s="35"/>
      <c r="D72" s="22"/>
      <c r="E72" s="22"/>
    </row>
    <row r="73" spans="1:5" ht="18" customHeight="1" x14ac:dyDescent="0.2">
      <c r="A73" s="77" t="s">
        <v>50</v>
      </c>
      <c r="B73" s="77"/>
      <c r="C73" s="77"/>
      <c r="D73" s="77"/>
      <c r="E73" s="77"/>
    </row>
    <row r="74" spans="1:5" ht="11.25" customHeight="1" x14ac:dyDescent="0.2">
      <c r="A74" s="77" t="s">
        <v>39</v>
      </c>
      <c r="B74" s="77"/>
      <c r="C74" s="77"/>
      <c r="D74" s="77"/>
      <c r="E74" s="77"/>
    </row>
    <row r="75" spans="1:5" ht="11.25" customHeight="1" x14ac:dyDescent="0.2">
      <c r="A75" s="77" t="s">
        <v>40</v>
      </c>
      <c r="B75" s="77"/>
      <c r="C75" s="77"/>
      <c r="D75" s="77"/>
      <c r="E75" s="77"/>
    </row>
    <row r="76" spans="1:5" ht="11.25" customHeight="1" x14ac:dyDescent="0.2">
      <c r="A76" s="80" t="s">
        <v>34</v>
      </c>
      <c r="B76" s="80"/>
      <c r="C76" s="80"/>
      <c r="D76" s="80"/>
      <c r="E76" s="80"/>
    </row>
    <row r="77" spans="1:5" ht="11.25" customHeight="1" x14ac:dyDescent="0.2">
      <c r="A77" s="77" t="s">
        <v>24</v>
      </c>
      <c r="B77" s="77"/>
      <c r="C77" s="77"/>
      <c r="D77" s="77"/>
      <c r="E77" s="77"/>
    </row>
    <row r="78" spans="1:5" ht="18" customHeight="1" x14ac:dyDescent="0.2">
      <c r="A78" s="77" t="s">
        <v>23</v>
      </c>
      <c r="B78" s="77"/>
      <c r="C78" s="77"/>
      <c r="D78" s="77"/>
      <c r="E78" s="77"/>
    </row>
  </sheetData>
  <mergeCells count="10">
    <mergeCell ref="A1:E1"/>
    <mergeCell ref="A4:A5"/>
    <mergeCell ref="B4:B5"/>
    <mergeCell ref="A78:E78"/>
    <mergeCell ref="A73:E73"/>
    <mergeCell ref="A74:E74"/>
    <mergeCell ref="A75:E75"/>
    <mergeCell ref="A76:E76"/>
    <mergeCell ref="A77:E77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2020-08-01T23:48:06Z</dcterms:created>
  <dcterms:modified xsi:type="dcterms:W3CDTF">2025-12-04T13:52:12Z</dcterms:modified>
</cp:coreProperties>
</file>